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D:\kantor\2018\SETDA\Dokumen\PPID\materi PPID WEB\Laporan Keuangan PPID\PPID 2018\03. LAPORAN KEUANGAN 2017 UN AUDIT\SETDA\dok keuangan (upload)\"/>
    </mc:Choice>
  </mc:AlternateContent>
  <xr:revisionPtr revIDLastSave="0" documentId="10_ncr:8100000_{0125D60D-846D-4269-AA00-DFC85B2B1911}" xr6:coauthVersionLast="32" xr6:coauthVersionMax="32" xr10:uidLastSave="{00000000-0000-0000-0000-000000000000}"/>
  <workbookProtection workbookAlgorithmName="SHA-512" workbookHashValue="0HbyJpDMWE972+1hdanvCXrb9K+W7cml2qaf4jm/1uc0GYaaaVNgtdYBVTxLX7ok417wpnWrEeY0ckpNN27lFA==" workbookSaltValue="C/5I08yYlKkfinOv/D1rpw==" workbookSpinCount="100000" lockStructure="1"/>
  <bookViews>
    <workbookView xWindow="0" yWindow="0" windowWidth="24000" windowHeight="9510" tabRatio="900" firstSheet="5" activeTab="5" xr2:uid="{00000000-000D-0000-FFFF-FFFF00000000}"/>
  </bookViews>
  <sheets>
    <sheet name="LRA" sheetId="45" r:id="rId1"/>
    <sheet name="LRA STLH KONVERSI (RINCI)" sheetId="39" r:id="rId2"/>
    <sheet name="ASET TETAP" sheetId="43" r:id="rId3"/>
    <sheet name="ASET LAINNYA" sheetId="44" r:id="rId4"/>
    <sheet name="SUSUT &amp; AMOR" sheetId="42" r:id="rId5"/>
    <sheet name="NERACA" sheetId="19" r:id="rId6"/>
    <sheet name="LPE" sheetId="29" r:id="rId7"/>
    <sheet name="LO" sheetId="20" r:id="rId8"/>
    <sheet name="PENDAPATAN LO" sheetId="12" r:id="rId9"/>
    <sheet name="BEBAN PEGAWAI" sheetId="5" r:id="rId10"/>
    <sheet name="BEBAN PERSEDIAAN" sheetId="1" r:id="rId11"/>
    <sheet name="BEBAN JASA" sheetId="6" r:id="rId12"/>
    <sheet name="BEBAN PREMI ASURANSI" sheetId="7" r:id="rId13"/>
    <sheet name="BELANJA DBYAR DMUKA" sheetId="38" r:id="rId14"/>
    <sheet name="BEBAN SEWA" sheetId="35" r:id="rId15"/>
    <sheet name="BEBAN PEMELIHARAAN" sheetId="9" r:id="rId16"/>
    <sheet name="BEBAN PERJALANAN DINAS" sheetId="10" r:id="rId17"/>
    <sheet name="BEBAN LAIN-LAIN" sheetId="36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rus_Kas_Modif_Irwan" localSheetId="3">#REF!</definedName>
    <definedName name="Arus_Kas_Modif_Irwan" localSheetId="2">#REF!</definedName>
    <definedName name="Arus_Kas_Modif_Irwan" localSheetId="7">#REF!</definedName>
    <definedName name="Arus_Kas_Modif_Irwan" localSheetId="6">#REF!</definedName>
    <definedName name="Arus_Kas_Modif_Irwan" localSheetId="1">#REF!</definedName>
    <definedName name="Arus_Kas_Modif_Irwan" localSheetId="5">#REF!</definedName>
    <definedName name="Arus_Kas_Modif_Irwan" localSheetId="4">#REF!</definedName>
    <definedName name="Arus_Kas_Modif_Irwan">#REF!</definedName>
    <definedName name="ASISTEN_BIDANG_PEMERINTAHAN" localSheetId="3">#REF!</definedName>
    <definedName name="ASISTEN_BIDANG_PEMERINTAHAN" localSheetId="4">#REF!</definedName>
    <definedName name="ASISTEN_BIDANG_PEMERINTAHAN">#REF!</definedName>
    <definedName name="B_A_P_P_E_D_A">[1]BAPPEDA!$J$5</definedName>
    <definedName name="B_A_W_A_S_D_A">[1]BAWASDA!$J$5</definedName>
    <definedName name="BAGIAN_PEMBERDAYAAN_MASYARAKAT_DESA">[1]PMD!$J$5</definedName>
    <definedName name="DINAS_KEHUTANAN_PERKEBUNAN">[1]EKBANG!$J$4</definedName>
    <definedName name="DINAS_PENDAPATAN_DAERAH">[1]PMD!$J$5</definedName>
    <definedName name="DINAS_PERINDAGKOP_NAKERTRANS">[1]KESBANG!$J$5</definedName>
    <definedName name="DINAS_PERTAMBANGAN_DAN_LINGKUNGAN_HIDUP">[1]CAPIL!$J$5</definedName>
    <definedName name="DINAS_PU_DAN_PERHUBUNGAN">[1]TAPEM!$J$5</definedName>
    <definedName name="DPRD_KOLAKA_UTARA" localSheetId="3">#REF!</definedName>
    <definedName name="DPRD_KOLAKA_UTARA" localSheetId="4">#REF!</definedName>
    <definedName name="DPRD_KOLAKA_UTARA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Excel_BuiltIn_Print_Area_10" localSheetId="3">#REF!</definedName>
    <definedName name="Excel_BuiltIn_Print_Area_10" localSheetId="4">#REF!</definedName>
    <definedName name="Excel_BuiltIn_Print_Area_10">#REF!</definedName>
    <definedName name="Excel_BuiltIn_Print_Area_11" localSheetId="3">'[2]Bant _ Tdk Trsangka'!#REF!</definedName>
    <definedName name="Excel_BuiltIn_Print_Area_11" localSheetId="4">'[2]Bant _ Tdk Trsangka'!#REF!</definedName>
    <definedName name="Excel_BuiltIn_Print_Area_11">'[2]Bant _ Tdk Trsangka'!#REF!</definedName>
    <definedName name="Excel_BuiltIn_Print_Area_12" localSheetId="3">[2]Pembiayaan!#REF!</definedName>
    <definedName name="Excel_BuiltIn_Print_Area_12" localSheetId="4">[2]Pembiayaan!#REF!</definedName>
    <definedName name="Excel_BuiltIn_Print_Area_12">[2]Pembiayaan!#REF!</definedName>
    <definedName name="Excel_BuiltIn_Print_Area_6" localSheetId="3">'[2]Rekap Belanja'!#REF!</definedName>
    <definedName name="Excel_BuiltIn_Print_Area_6" localSheetId="4">'[2]Rekap Belanja'!#REF!</definedName>
    <definedName name="Excel_BuiltIn_Print_Area_6">'[2]Rekap Belanja'!#REF!</definedName>
    <definedName name="Excel_BuiltIn_Print_Titles_1" localSheetId="3">#REF!</definedName>
    <definedName name="Excel_BuiltIn_Print_Titles_1" localSheetId="4">#REF!</definedName>
    <definedName name="Excel_BuiltIn_Print_Titles_1">#REF!</definedName>
    <definedName name="Excel_BuiltIn_Print_Titles_10" localSheetId="3">#REF!</definedName>
    <definedName name="Excel_BuiltIn_Print_Titles_10" localSheetId="4">#REF!</definedName>
    <definedName name="Excel_BuiltIn_Print_Titles_10">#REF!</definedName>
    <definedName name="Excel_BuiltIn_Print_Titles_2" localSheetId="3">#REF!</definedName>
    <definedName name="Excel_BuiltIn_Print_Titles_2" localSheetId="2">#REF!</definedName>
    <definedName name="Excel_BuiltIn_Print_Titles_2" localSheetId="7">#REF!</definedName>
    <definedName name="Excel_BuiltIn_Print_Titles_2" localSheetId="6">#REF!</definedName>
    <definedName name="Excel_BuiltIn_Print_Titles_2" localSheetId="1">#REF!</definedName>
    <definedName name="Excel_BuiltIn_Print_Titles_2" localSheetId="5">#REF!</definedName>
    <definedName name="Excel_BuiltIn_Print_Titles_2" localSheetId="4">#REF!</definedName>
    <definedName name="Excel_BuiltIn_Print_Titles_2">#REF!</definedName>
    <definedName name="GALIH" localSheetId="3">#REF!</definedName>
    <definedName name="GALIH" localSheetId="2">#REF!</definedName>
    <definedName name="GALIH" localSheetId="4">#REF!</definedName>
    <definedName name="GALIH">#REF!</definedName>
    <definedName name="KECAMATAN_KODEOHA" localSheetId="3">#REF!</definedName>
    <definedName name="KECAMATAN_KODEOHA" localSheetId="4">#REF!</definedName>
    <definedName name="KECAMATAN_KODEOHA">#REF!</definedName>
    <definedName name="KECAMATAN_PAKUE" localSheetId="3">[3]PERTANIAN!#REF!</definedName>
    <definedName name="KECAMATAN_PAKUE" localSheetId="4">[3]PERTANIAN!#REF!</definedName>
    <definedName name="KECAMATAN_PAKUE">[3]PERTANIAN!#REF!</definedName>
    <definedName name="Neraca" localSheetId="3">#REF!</definedName>
    <definedName name="Neraca" localSheetId="2">#REF!</definedName>
    <definedName name="Neraca" localSheetId="4">#REF!</definedName>
    <definedName name="Neraca">#REF!</definedName>
    <definedName name="_xlnm.Print_Area" localSheetId="2">'ASET TETAP'!$B$5:$AJ$42</definedName>
    <definedName name="_xlnm.Print_Area" localSheetId="11">'BEBAN JASA'!$A$1:$J$56</definedName>
    <definedName name="_xlnm.Print_Area" localSheetId="17">'BEBAN LAIN-LAIN'!$A$1:$J$34</definedName>
    <definedName name="_xlnm.Print_Area" localSheetId="9">'BEBAN PEGAWAI'!$A$1:$J$40</definedName>
    <definedName name="_xlnm.Print_Area" localSheetId="15">'BEBAN PEMELIHARAAN'!$A$1:$J$26</definedName>
    <definedName name="_xlnm.Print_Area" localSheetId="16">'BEBAN PERJALANAN DINAS'!$A$1:$J$14</definedName>
    <definedName name="_xlnm.Print_Area" localSheetId="10">'BEBAN PERSEDIAAN'!$A$1:$L$121</definedName>
    <definedName name="_xlnm.Print_Area" localSheetId="12">'BEBAN PREMI ASURANSI'!$A$1:$K$17</definedName>
    <definedName name="_xlnm.Print_Area" localSheetId="14">'BEBAN SEWA'!$A$1:$K$45</definedName>
    <definedName name="_xlnm.Print_Area" localSheetId="13">'BELANJA DBYAR DMUKA'!$A$1:$H$81</definedName>
    <definedName name="_xlnm.Print_Area" localSheetId="7">LO!$A$1:$O$98</definedName>
    <definedName name="_xlnm.Print_Area" localSheetId="6">LPE!$A$1:$E$73</definedName>
    <definedName name="_xlnm.Print_Area" localSheetId="1">'LRA STLH KONVERSI (RINCI)'!$A$1:$H$152</definedName>
    <definedName name="_xlnm.Print_Area" localSheetId="5">NERACA!$A$6:$V$160</definedName>
    <definedName name="_xlnm.Print_Area" localSheetId="8">'PENDAPATAN LO'!$A$1:$N$29</definedName>
    <definedName name="_xlnm.Print_Area" localSheetId="4">'SUSUT &amp; AMOR'!$A$1:$L$60</definedName>
    <definedName name="_xlnm.Print_Titles" localSheetId="11">'BEBAN JASA'!$3:$4</definedName>
    <definedName name="_xlnm.Print_Titles" localSheetId="17">'BEBAN LAIN-LAIN'!$3:$4</definedName>
    <definedName name="_xlnm.Print_Titles" localSheetId="9">'BEBAN PEGAWAI'!$3:$4</definedName>
    <definedName name="_xlnm.Print_Titles" localSheetId="15">'BEBAN PEMELIHARAAN'!$3:$4</definedName>
    <definedName name="_xlnm.Print_Titles" localSheetId="16">'BEBAN PERJALANAN DINAS'!$3:$4</definedName>
    <definedName name="_xlnm.Print_Titles" localSheetId="10">'BEBAN PERSEDIAAN'!$3:$4</definedName>
    <definedName name="_xlnm.Print_Titles" localSheetId="14">'BEBAN SEWA'!$3:$4</definedName>
    <definedName name="_xlnm.Print_Titles" localSheetId="13">'BELANJA DBYAR DMUKA'!$5:$6</definedName>
    <definedName name="_xlnm.Print_Titles" localSheetId="7">LO!$5:$8</definedName>
    <definedName name="_xlnm.Print_Titles" localSheetId="0">LRA!$6:$8</definedName>
    <definedName name="_xlnm.Print_Titles" localSheetId="1">'LRA STLH KONVERSI (RINCI)'!$6:$8</definedName>
    <definedName name="_xlnm.Print_Titles" localSheetId="5">NERACA!$11:$13</definedName>
    <definedName name="SEKRETARIAT_DPRD" localSheetId="3">#REF!</definedName>
    <definedName name="SEKRETARIAT_DPRD" localSheetId="4">#REF!</definedName>
    <definedName name="SEKRETARIAT_DPRD">#REF!</definedName>
    <definedName name="SKPD" localSheetId="3">#REF!</definedName>
    <definedName name="SKPD" localSheetId="1">#REF!</definedName>
    <definedName name="SKPD">#REF!</definedName>
    <definedName name="SKPD_JTGPROV" localSheetId="3">#REF!</definedName>
    <definedName name="SKPD_JTGPROV" localSheetId="1">#REF!</definedName>
    <definedName name="SKPD_JTGPROV">#REF!</definedName>
    <definedName name="sssss">[4]DIKBUDPAR!$J$5</definedName>
  </definedNames>
  <calcPr calcId="162913"/>
</workbook>
</file>

<file path=xl/calcChain.xml><?xml version="1.0" encoding="utf-8"?>
<calcChain xmlns="http://schemas.openxmlformats.org/spreadsheetml/2006/main">
  <c r="H13" i="42" l="1"/>
  <c r="H10" i="42"/>
  <c r="P145" i="19" l="1"/>
  <c r="G23" i="42" l="1"/>
  <c r="K23" i="42" s="1"/>
  <c r="G22" i="42"/>
  <c r="K22" i="42" s="1"/>
  <c r="G21" i="42"/>
  <c r="K21" i="42" s="1"/>
  <c r="G20" i="42"/>
  <c r="K20" i="42" s="1"/>
  <c r="G19" i="42"/>
  <c r="K19" i="42" s="1"/>
  <c r="G18" i="42"/>
  <c r="K18" i="42" s="1"/>
  <c r="G17" i="42"/>
  <c r="K17" i="42" s="1"/>
  <c r="G16" i="42"/>
  <c r="K16" i="42" s="1"/>
  <c r="G15" i="42"/>
  <c r="K15" i="42" s="1"/>
  <c r="G14" i="42"/>
  <c r="K14" i="42" s="1"/>
  <c r="G13" i="42"/>
  <c r="K13" i="42" s="1"/>
  <c r="G12" i="42"/>
  <c r="K12" i="42" s="1"/>
  <c r="G11" i="42"/>
  <c r="K11" i="42" s="1"/>
  <c r="G10" i="42"/>
  <c r="K10" i="42" s="1"/>
  <c r="G9" i="42"/>
  <c r="K9" i="42" s="1"/>
  <c r="W95" i="19"/>
  <c r="N25" i="42" l="1"/>
  <c r="P10" i="42"/>
  <c r="P11" i="42"/>
  <c r="P12" i="42"/>
  <c r="P13" i="42"/>
  <c r="P14" i="42"/>
  <c r="P15" i="42"/>
  <c r="P16" i="42"/>
  <c r="P17" i="42"/>
  <c r="P18" i="42"/>
  <c r="P19" i="42"/>
  <c r="P20" i="42"/>
  <c r="P21" i="42"/>
  <c r="P22" i="42"/>
  <c r="P23" i="42"/>
  <c r="P9" i="42"/>
  <c r="O23" i="42"/>
  <c r="O21" i="42"/>
  <c r="O20" i="42"/>
  <c r="O19" i="42"/>
  <c r="N36" i="19"/>
  <c r="R37" i="44" l="1"/>
  <c r="G172" i="19" l="1"/>
  <c r="D45" i="44" l="1"/>
  <c r="Z43" i="43"/>
  <c r="E154" i="39" l="1"/>
  <c r="D11" i="44" l="1"/>
  <c r="C11" i="44"/>
  <c r="D14" i="44"/>
  <c r="C14" i="44"/>
  <c r="D25" i="44"/>
  <c r="C25" i="44"/>
  <c r="D29" i="44"/>
  <c r="C29" i="44"/>
  <c r="D35" i="44"/>
  <c r="C35" i="44"/>
  <c r="D41" i="44"/>
  <c r="C41" i="44"/>
  <c r="B29" i="42"/>
  <c r="B40" i="42" s="1"/>
  <c r="E103" i="39"/>
  <c r="D103" i="39"/>
  <c r="E104" i="39"/>
  <c r="D104" i="39"/>
  <c r="E121" i="39"/>
  <c r="E120" i="39"/>
  <c r="D121" i="39"/>
  <c r="D120" i="39"/>
  <c r="E99" i="39"/>
  <c r="D99" i="39"/>
  <c r="E100" i="39"/>
  <c r="D100" i="39"/>
  <c r="E61" i="39"/>
  <c r="E62" i="39"/>
  <c r="E63" i="39"/>
  <c r="E64" i="39"/>
  <c r="E65" i="39"/>
  <c r="E66" i="39"/>
  <c r="E67" i="39"/>
  <c r="E68" i="39"/>
  <c r="E70" i="39"/>
  <c r="E71" i="39"/>
  <c r="E72" i="39"/>
  <c r="E74" i="39"/>
  <c r="E75" i="39"/>
  <c r="E76" i="39"/>
  <c r="E78" i="39"/>
  <c r="E79" i="39"/>
  <c r="E80" i="39"/>
  <c r="E84" i="39"/>
  <c r="E86" i="39"/>
  <c r="C116" i="1" s="1"/>
  <c r="D86" i="39"/>
  <c r="D84" i="39"/>
  <c r="D80" i="39"/>
  <c r="D79" i="39"/>
  <c r="D78" i="39"/>
  <c r="D76" i="39"/>
  <c r="D74" i="39"/>
  <c r="D75" i="39"/>
  <c r="D72" i="39"/>
  <c r="D71" i="39"/>
  <c r="D70" i="39"/>
  <c r="D68" i="39"/>
  <c r="D67" i="39"/>
  <c r="D66" i="39"/>
  <c r="D65" i="39"/>
  <c r="D64" i="39"/>
  <c r="D63" i="39"/>
  <c r="D62" i="39"/>
  <c r="D61" i="39"/>
  <c r="G104" i="39"/>
  <c r="F120" i="39" l="1"/>
  <c r="F75" i="39"/>
  <c r="F99" i="39"/>
  <c r="F74" i="39"/>
  <c r="F121" i="39"/>
  <c r="F80" i="39"/>
  <c r="F100" i="39"/>
  <c r="D39" i="43"/>
  <c r="C39" i="43"/>
  <c r="D34" i="43"/>
  <c r="C34" i="43"/>
  <c r="D28" i="43"/>
  <c r="C28" i="43"/>
  <c r="D24" i="43"/>
  <c r="C24" i="43"/>
  <c r="D13" i="43"/>
  <c r="C13" i="43"/>
  <c r="D10" i="43"/>
  <c r="C10" i="43"/>
  <c r="C204" i="45"/>
  <c r="F202" i="45"/>
  <c r="F204" i="45" s="1"/>
  <c r="D202" i="45"/>
  <c r="E202" i="45" s="1"/>
  <c r="E204" i="45" s="1"/>
  <c r="C202" i="45"/>
  <c r="E200" i="45"/>
  <c r="E198" i="45"/>
  <c r="E197" i="45"/>
  <c r="E195" i="45"/>
  <c r="E194" i="45"/>
  <c r="E193" i="45"/>
  <c r="E192" i="45"/>
  <c r="E191" i="45"/>
  <c r="E186" i="45"/>
  <c r="E185" i="45"/>
  <c r="E183" i="45"/>
  <c r="E182" i="45"/>
  <c r="E179" i="45"/>
  <c r="E178" i="45"/>
  <c r="E177" i="45"/>
  <c r="E175" i="45"/>
  <c r="E174" i="45"/>
  <c r="E173" i="45"/>
  <c r="E172" i="45"/>
  <c r="E170" i="45"/>
  <c r="E169" i="45"/>
  <c r="E167" i="45"/>
  <c r="E166" i="45"/>
  <c r="E164" i="45"/>
  <c r="E163" i="45"/>
  <c r="E162" i="45"/>
  <c r="E160" i="45"/>
  <c r="E159" i="45"/>
  <c r="E158" i="45"/>
  <c r="E156" i="45"/>
  <c r="E155" i="45"/>
  <c r="E154" i="45"/>
  <c r="E152" i="45"/>
  <c r="E151" i="45"/>
  <c r="E150" i="45"/>
  <c r="E149" i="45"/>
  <c r="E148" i="45"/>
  <c r="E146" i="45"/>
  <c r="E145" i="45"/>
  <c r="E144" i="45"/>
  <c r="E143" i="45"/>
  <c r="E142" i="45"/>
  <c r="E140" i="45"/>
  <c r="E139" i="45"/>
  <c r="E137" i="45"/>
  <c r="E136" i="45"/>
  <c r="E135" i="45"/>
  <c r="E134" i="45"/>
  <c r="E132" i="45"/>
  <c r="E131" i="45"/>
  <c r="E130" i="45"/>
  <c r="E128" i="45"/>
  <c r="E127" i="45"/>
  <c r="E125" i="45"/>
  <c r="E124" i="45"/>
  <c r="E122" i="45"/>
  <c r="E121" i="45"/>
  <c r="E120" i="45"/>
  <c r="E119" i="45"/>
  <c r="E118" i="45"/>
  <c r="E116" i="45"/>
  <c r="E115" i="45"/>
  <c r="E114" i="45"/>
  <c r="E113" i="45"/>
  <c r="E112" i="45"/>
  <c r="E111" i="45"/>
  <c r="E110" i="45"/>
  <c r="E108" i="45"/>
  <c r="E107" i="45"/>
  <c r="E105" i="45"/>
  <c r="E104" i="45"/>
  <c r="E103" i="45"/>
  <c r="E102" i="45"/>
  <c r="E101" i="45"/>
  <c r="E99" i="45"/>
  <c r="E98" i="45"/>
  <c r="E97" i="45"/>
  <c r="E95" i="45"/>
  <c r="E94" i="45"/>
  <c r="E93" i="45"/>
  <c r="E91" i="45"/>
  <c r="E90" i="45"/>
  <c r="E89" i="45"/>
  <c r="E87" i="45"/>
  <c r="E86" i="45"/>
  <c r="E85" i="45"/>
  <c r="E84" i="45"/>
  <c r="E83" i="45"/>
  <c r="E82" i="45"/>
  <c r="E81" i="45"/>
  <c r="E80" i="45"/>
  <c r="E79" i="45"/>
  <c r="E78" i="45"/>
  <c r="E76" i="45"/>
  <c r="E75" i="45"/>
  <c r="E74" i="45"/>
  <c r="E73" i="45"/>
  <c r="E72" i="45"/>
  <c r="E71" i="45"/>
  <c r="E69" i="45"/>
  <c r="E68" i="45"/>
  <c r="E67" i="45"/>
  <c r="E66" i="45"/>
  <c r="E65" i="45"/>
  <c r="E62" i="45"/>
  <c r="E61" i="45"/>
  <c r="E60" i="45"/>
  <c r="E59" i="45"/>
  <c r="E58" i="45"/>
  <c r="E57" i="45"/>
  <c r="E56" i="45"/>
  <c r="E55" i="45"/>
  <c r="E54" i="45"/>
  <c r="E53" i="45"/>
  <c r="E52" i="45"/>
  <c r="E51" i="45"/>
  <c r="E50" i="45"/>
  <c r="E49" i="45"/>
  <c r="E47" i="45"/>
  <c r="E46" i="45"/>
  <c r="E45" i="45"/>
  <c r="E44" i="45"/>
  <c r="E43" i="45"/>
  <c r="E41" i="45"/>
  <c r="E40" i="45"/>
  <c r="E39" i="45"/>
  <c r="E38" i="45"/>
  <c r="E37" i="45"/>
  <c r="E36" i="45"/>
  <c r="E34" i="45"/>
  <c r="E33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6" i="45"/>
  <c r="E14" i="45"/>
  <c r="E13" i="45"/>
  <c r="E12" i="45"/>
  <c r="E11" i="45"/>
  <c r="E10" i="45"/>
  <c r="E9" i="45"/>
  <c r="D204" i="45" l="1"/>
  <c r="G16" i="36" l="1"/>
  <c r="H8" i="10"/>
  <c r="I8" i="10" s="1"/>
  <c r="G8" i="10"/>
  <c r="G7" i="10"/>
  <c r="G6" i="10"/>
  <c r="G20" i="9"/>
  <c r="G19" i="9"/>
  <c r="G18" i="9"/>
  <c r="G17" i="9"/>
  <c r="G16" i="9"/>
  <c r="G15" i="9"/>
  <c r="G11" i="9"/>
  <c r="G10" i="9"/>
  <c r="G9" i="9"/>
  <c r="G8" i="9"/>
  <c r="G7" i="9"/>
  <c r="G6" i="9"/>
  <c r="G36" i="35"/>
  <c r="G35" i="35"/>
  <c r="G34" i="35"/>
  <c r="G33" i="35"/>
  <c r="G32" i="35"/>
  <c r="G31" i="35"/>
  <c r="G30" i="35"/>
  <c r="G29" i="35"/>
  <c r="G28" i="35"/>
  <c r="G27" i="35"/>
  <c r="G26" i="35"/>
  <c r="G25" i="35"/>
  <c r="G16" i="35"/>
  <c r="G15" i="35"/>
  <c r="G11" i="35"/>
  <c r="G10" i="35"/>
  <c r="G9" i="35"/>
  <c r="G8" i="35"/>
  <c r="G7" i="35"/>
  <c r="G6" i="35"/>
  <c r="F16" i="35"/>
  <c r="F15" i="35"/>
  <c r="F11" i="35"/>
  <c r="F10" i="35"/>
  <c r="F9" i="35"/>
  <c r="F8" i="35"/>
  <c r="F7" i="35"/>
  <c r="F6" i="35"/>
  <c r="G54" i="38"/>
  <c r="H54" i="38" s="1"/>
  <c r="G53" i="38"/>
  <c r="G52" i="38"/>
  <c r="H52" i="38" s="1"/>
  <c r="G51" i="38"/>
  <c r="H51" i="38" s="1"/>
  <c r="G50" i="38"/>
  <c r="H50" i="38" s="1"/>
  <c r="G49" i="38"/>
  <c r="G48" i="38"/>
  <c r="G47" i="38"/>
  <c r="H47" i="38" s="1"/>
  <c r="G46" i="38"/>
  <c r="F45" i="38"/>
  <c r="F37" i="38"/>
  <c r="F35" i="38" s="1"/>
  <c r="G43" i="38"/>
  <c r="H43" i="38" s="1"/>
  <c r="G42" i="38"/>
  <c r="G41" i="38"/>
  <c r="H41" i="38" s="1"/>
  <c r="G40" i="38"/>
  <c r="H40" i="38" s="1"/>
  <c r="G39" i="38"/>
  <c r="H39" i="38" s="1"/>
  <c r="G38" i="38"/>
  <c r="H38" i="38" s="1"/>
  <c r="H42" i="38"/>
  <c r="H48" i="38"/>
  <c r="H49" i="38"/>
  <c r="H53" i="38"/>
  <c r="G45" i="38" l="1"/>
  <c r="H46" i="38"/>
  <c r="H45" i="38" s="1"/>
  <c r="G37" i="38"/>
  <c r="G35" i="38" l="1"/>
  <c r="G7" i="7" s="1"/>
  <c r="F9" i="38"/>
  <c r="F8" i="38" s="1"/>
  <c r="G31" i="38"/>
  <c r="H31" i="38" s="1"/>
  <c r="G30" i="38"/>
  <c r="H30" i="38" s="1"/>
  <c r="G29" i="38"/>
  <c r="H29" i="38" s="1"/>
  <c r="G28" i="38"/>
  <c r="H28" i="38" s="1"/>
  <c r="G27" i="38"/>
  <c r="H27" i="38" s="1"/>
  <c r="G26" i="38"/>
  <c r="H26" i="38" s="1"/>
  <c r="G25" i="38"/>
  <c r="H25" i="38" s="1"/>
  <c r="G24" i="38"/>
  <c r="H24" i="38" s="1"/>
  <c r="G23" i="38"/>
  <c r="H23" i="38" s="1"/>
  <c r="G22" i="38"/>
  <c r="H22" i="38" s="1"/>
  <c r="G21" i="38"/>
  <c r="H21" i="38" s="1"/>
  <c r="G20" i="38"/>
  <c r="H20" i="38" s="1"/>
  <c r="G19" i="38"/>
  <c r="H19" i="38" s="1"/>
  <c r="G18" i="38"/>
  <c r="H18" i="38" s="1"/>
  <c r="G17" i="38"/>
  <c r="H17" i="38" s="1"/>
  <c r="G16" i="38"/>
  <c r="H16" i="38" s="1"/>
  <c r="G15" i="38"/>
  <c r="H15" i="38" s="1"/>
  <c r="G14" i="38"/>
  <c r="H14" i="38" s="1"/>
  <c r="G13" i="38"/>
  <c r="H13" i="38" s="1"/>
  <c r="G12" i="38"/>
  <c r="H12" i="38" s="1"/>
  <c r="G11" i="38"/>
  <c r="H11" i="38" s="1"/>
  <c r="G10" i="38"/>
  <c r="H10" i="38" s="1"/>
  <c r="G9" i="7"/>
  <c r="G12" i="39"/>
  <c r="G17" i="39"/>
  <c r="G33" i="39"/>
  <c r="G38" i="39"/>
  <c r="G42" i="39"/>
  <c r="G50" i="39"/>
  <c r="G60" i="39"/>
  <c r="G95" i="39"/>
  <c r="G98" i="39"/>
  <c r="G109" i="39"/>
  <c r="G113" i="39"/>
  <c r="G119" i="39"/>
  <c r="G124" i="39"/>
  <c r="G127" i="39"/>
  <c r="G140" i="39"/>
  <c r="G146" i="39"/>
  <c r="G150" i="39" l="1"/>
  <c r="G32" i="39"/>
  <c r="G10" i="39"/>
  <c r="G94" i="39"/>
  <c r="G49" i="39"/>
  <c r="H9" i="38"/>
  <c r="H8" i="38" s="1"/>
  <c r="G9" i="38"/>
  <c r="G46" i="39"/>
  <c r="G48" i="39" l="1"/>
  <c r="G135" i="39"/>
  <c r="G137" i="39" s="1"/>
  <c r="G152" i="39" s="1"/>
  <c r="G8" i="7"/>
  <c r="G8" i="38"/>
  <c r="C6" i="7"/>
  <c r="C7" i="7"/>
  <c r="G44" i="6"/>
  <c r="F44" i="6"/>
  <c r="G43" i="6"/>
  <c r="F43" i="6"/>
  <c r="G42" i="6"/>
  <c r="F42" i="6"/>
  <c r="G41" i="6"/>
  <c r="F41" i="6"/>
  <c r="G40" i="6"/>
  <c r="F40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L6" i="1"/>
  <c r="G6" i="7" l="1"/>
  <c r="C63" i="1"/>
  <c r="L60" i="1"/>
  <c r="K60" i="1"/>
  <c r="I60" i="1"/>
  <c r="E60" i="1"/>
  <c r="D60" i="1"/>
  <c r="C125" i="1"/>
  <c r="C55" i="1"/>
  <c r="C60" i="1" s="1"/>
  <c r="C124" i="1"/>
  <c r="C51" i="1"/>
  <c r="C50" i="1"/>
  <c r="C123" i="1"/>
  <c r="C122" i="1"/>
  <c r="C41" i="5"/>
  <c r="C30" i="12"/>
  <c r="G29" i="5"/>
  <c r="G25" i="5"/>
  <c r="G24" i="5"/>
  <c r="G22" i="5"/>
  <c r="G15" i="5"/>
  <c r="G14" i="5"/>
  <c r="G13" i="5"/>
  <c r="G7" i="5"/>
  <c r="G6" i="5"/>
  <c r="C130" i="1" l="1"/>
  <c r="G79" i="19"/>
  <c r="G89" i="19"/>
  <c r="G61" i="20" l="1"/>
  <c r="D18" i="29" l="1"/>
  <c r="D15" i="29"/>
  <c r="K94" i="19" l="1"/>
  <c r="K95" i="19"/>
  <c r="K96" i="19"/>
  <c r="K93" i="19"/>
  <c r="K91" i="19"/>
  <c r="K90" i="19"/>
  <c r="K81" i="19"/>
  <c r="K82" i="19"/>
  <c r="K83" i="19"/>
  <c r="K84" i="19"/>
  <c r="K85" i="19"/>
  <c r="K86" i="19"/>
  <c r="K87" i="19"/>
  <c r="K88" i="19"/>
  <c r="P94" i="19"/>
  <c r="P95" i="19"/>
  <c r="P96" i="19"/>
  <c r="P93" i="19"/>
  <c r="P91" i="19"/>
  <c r="P90" i="19"/>
  <c r="P81" i="19"/>
  <c r="P82" i="19"/>
  <c r="P83" i="19"/>
  <c r="P84" i="19"/>
  <c r="P85" i="19"/>
  <c r="P86" i="19"/>
  <c r="P87" i="19"/>
  <c r="P88" i="19"/>
  <c r="P80" i="19"/>
  <c r="I94" i="19"/>
  <c r="L94" i="19" s="1"/>
  <c r="I95" i="19"/>
  <c r="I96" i="19"/>
  <c r="I93" i="19"/>
  <c r="I91" i="19"/>
  <c r="I90" i="19"/>
  <c r="I81" i="19"/>
  <c r="I82" i="19"/>
  <c r="I83" i="19"/>
  <c r="L83" i="19" s="1"/>
  <c r="O12" i="42" s="1"/>
  <c r="I84" i="19"/>
  <c r="I85" i="19"/>
  <c r="I86" i="19"/>
  <c r="I87" i="19"/>
  <c r="I88" i="19"/>
  <c r="I80" i="19"/>
  <c r="N81" i="19"/>
  <c r="N82" i="19"/>
  <c r="N83" i="19"/>
  <c r="N84" i="19"/>
  <c r="N85" i="19"/>
  <c r="N86" i="19"/>
  <c r="N87" i="19"/>
  <c r="N88" i="19"/>
  <c r="N80" i="19"/>
  <c r="N91" i="19"/>
  <c r="N90" i="19"/>
  <c r="N94" i="19"/>
  <c r="N95" i="19"/>
  <c r="N96" i="19"/>
  <c r="N93" i="19"/>
  <c r="L27" i="12"/>
  <c r="F29" i="12"/>
  <c r="G52" i="6"/>
  <c r="H46" i="20"/>
  <c r="I46" i="20"/>
  <c r="J46" i="20"/>
  <c r="K46" i="20"/>
  <c r="M46" i="20"/>
  <c r="D16" i="29"/>
  <c r="D31" i="29"/>
  <c r="I146" i="19"/>
  <c r="G13" i="7"/>
  <c r="H52" i="6"/>
  <c r="F52" i="6"/>
  <c r="L35" i="19"/>
  <c r="P35" i="19" s="1"/>
  <c r="L36" i="19"/>
  <c r="L37" i="19"/>
  <c r="P37" i="19" s="1"/>
  <c r="L38" i="19"/>
  <c r="L39" i="19"/>
  <c r="C38" i="5"/>
  <c r="G38" i="5"/>
  <c r="H36" i="35"/>
  <c r="H35" i="35"/>
  <c r="H34" i="35"/>
  <c r="I34" i="35" s="1"/>
  <c r="H33" i="35"/>
  <c r="H32" i="35"/>
  <c r="I32" i="35" s="1"/>
  <c r="H31" i="35"/>
  <c r="I31" i="35" s="1"/>
  <c r="H30" i="35"/>
  <c r="I30" i="35" s="1"/>
  <c r="H29" i="35"/>
  <c r="H28" i="35"/>
  <c r="H27" i="35"/>
  <c r="H26" i="35"/>
  <c r="I26" i="35" s="1"/>
  <c r="H25" i="35"/>
  <c r="H21" i="35"/>
  <c r="I21" i="35" s="1"/>
  <c r="H20" i="35"/>
  <c r="I20" i="35" s="1"/>
  <c r="H16" i="35"/>
  <c r="I16" i="35" s="1"/>
  <c r="H15" i="35"/>
  <c r="I15" i="35" s="1"/>
  <c r="H7" i="35"/>
  <c r="I7" i="35" s="1"/>
  <c r="H8" i="35"/>
  <c r="I8" i="35" s="1"/>
  <c r="H9" i="35"/>
  <c r="I9" i="35" s="1"/>
  <c r="H10" i="35"/>
  <c r="I10" i="35" s="1"/>
  <c r="H11" i="35"/>
  <c r="I11" i="35" s="1"/>
  <c r="H6" i="35"/>
  <c r="H20" i="9"/>
  <c r="H19" i="9"/>
  <c r="H18" i="9"/>
  <c r="I18" i="9" s="1"/>
  <c r="H17" i="9"/>
  <c r="I17" i="9" s="1"/>
  <c r="H16" i="9"/>
  <c r="I16" i="9" s="1"/>
  <c r="H15" i="9"/>
  <c r="H7" i="9"/>
  <c r="H8" i="9"/>
  <c r="H9" i="9"/>
  <c r="I9" i="9" s="1"/>
  <c r="H10" i="9"/>
  <c r="H11" i="9"/>
  <c r="H6" i="9"/>
  <c r="I6" i="9" s="1"/>
  <c r="G34" i="5"/>
  <c r="G19" i="5"/>
  <c r="G10" i="5"/>
  <c r="Z41" i="44"/>
  <c r="Y41" i="44"/>
  <c r="X41" i="44"/>
  <c r="W41" i="44"/>
  <c r="V41" i="44"/>
  <c r="U41" i="44"/>
  <c r="T41" i="44"/>
  <c r="S41" i="44"/>
  <c r="Z35" i="44"/>
  <c r="Y35" i="44"/>
  <c r="X35" i="44"/>
  <c r="W35" i="44"/>
  <c r="V35" i="44"/>
  <c r="U35" i="44"/>
  <c r="T35" i="44"/>
  <c r="S35" i="44"/>
  <c r="Z29" i="44"/>
  <c r="Y29" i="44"/>
  <c r="X29" i="44"/>
  <c r="W29" i="44"/>
  <c r="V29" i="44"/>
  <c r="U29" i="44"/>
  <c r="T29" i="44"/>
  <c r="S29" i="44"/>
  <c r="Z25" i="44"/>
  <c r="Y25" i="44"/>
  <c r="X25" i="44"/>
  <c r="W25" i="44"/>
  <c r="V25" i="44"/>
  <c r="U25" i="44"/>
  <c r="T25" i="44"/>
  <c r="S25" i="44"/>
  <c r="Z14" i="44"/>
  <c r="Y14" i="44"/>
  <c r="X14" i="44"/>
  <c r="W14" i="44"/>
  <c r="V14" i="44"/>
  <c r="U14" i="44"/>
  <c r="T14" i="44"/>
  <c r="S14" i="44"/>
  <c r="Z11" i="44"/>
  <c r="Y11" i="44"/>
  <c r="X11" i="44"/>
  <c r="W11" i="44"/>
  <c r="W44" i="44" s="1"/>
  <c r="V11" i="44"/>
  <c r="U11" i="44"/>
  <c r="T11" i="44"/>
  <c r="S11" i="44"/>
  <c r="AB42" i="44"/>
  <c r="AB41" i="44" s="1"/>
  <c r="AA42" i="44"/>
  <c r="AA41" i="44" s="1"/>
  <c r="AB39" i="44"/>
  <c r="AA39" i="44"/>
  <c r="AB38" i="44"/>
  <c r="AA38" i="44"/>
  <c r="AB37" i="44"/>
  <c r="AD37" i="44" s="1"/>
  <c r="AA37" i="44"/>
  <c r="AB36" i="44"/>
  <c r="AA36" i="44"/>
  <c r="AB33" i="44"/>
  <c r="AA33" i="44"/>
  <c r="AB32" i="44"/>
  <c r="AA32" i="44"/>
  <c r="AB31" i="44"/>
  <c r="AA31" i="44"/>
  <c r="AB30" i="44"/>
  <c r="AA30" i="44"/>
  <c r="AB27" i="44"/>
  <c r="AA27" i="44"/>
  <c r="AB26" i="44"/>
  <c r="AA26" i="44"/>
  <c r="AB23" i="44"/>
  <c r="AA23" i="44"/>
  <c r="AB22" i="44"/>
  <c r="AA22" i="44"/>
  <c r="AB21" i="44"/>
  <c r="AA21" i="44"/>
  <c r="AB20" i="44"/>
  <c r="AA20" i="44"/>
  <c r="AB19" i="44"/>
  <c r="AA19" i="44"/>
  <c r="AB18" i="44"/>
  <c r="AA18" i="44"/>
  <c r="AB17" i="44"/>
  <c r="AA17" i="44"/>
  <c r="AB16" i="44"/>
  <c r="AA16" i="44"/>
  <c r="AB15" i="44"/>
  <c r="AA15" i="44"/>
  <c r="AA14" i="44" s="1"/>
  <c r="AB12" i="44"/>
  <c r="AB11" i="44" s="1"/>
  <c r="AA12" i="44"/>
  <c r="AA11" i="44" s="1"/>
  <c r="R42" i="44"/>
  <c r="R41" i="44" s="1"/>
  <c r="Q42" i="44"/>
  <c r="R39" i="44"/>
  <c r="AD39" i="44" s="1"/>
  <c r="Q39" i="44"/>
  <c r="R38" i="44"/>
  <c r="Q38" i="44"/>
  <c r="AC38" i="44" s="1"/>
  <c r="Q37" i="44"/>
  <c r="AC37" i="44" s="1"/>
  <c r="R36" i="44"/>
  <c r="Q36" i="44"/>
  <c r="R33" i="44"/>
  <c r="Q33" i="44"/>
  <c r="AC33" i="44" s="1"/>
  <c r="R32" i="44"/>
  <c r="Q32" i="44"/>
  <c r="R31" i="44"/>
  <c r="Q31" i="44"/>
  <c r="AC31" i="44" s="1"/>
  <c r="R30" i="44"/>
  <c r="Q30" i="44"/>
  <c r="R27" i="44"/>
  <c r="Q27" i="44"/>
  <c r="AC27" i="44" s="1"/>
  <c r="R26" i="44"/>
  <c r="Q26" i="44"/>
  <c r="R23" i="44"/>
  <c r="AD23" i="44" s="1"/>
  <c r="Q23" i="44"/>
  <c r="AC23" i="44" s="1"/>
  <c r="R22" i="44"/>
  <c r="Q22" i="44"/>
  <c r="R21" i="44"/>
  <c r="AD21" i="44" s="1"/>
  <c r="Q21" i="44"/>
  <c r="AC21" i="44" s="1"/>
  <c r="R20" i="44"/>
  <c r="Q20" i="44"/>
  <c r="R19" i="44"/>
  <c r="AD19" i="44" s="1"/>
  <c r="Q19" i="44"/>
  <c r="AC19" i="44" s="1"/>
  <c r="R18" i="44"/>
  <c r="Q18" i="44"/>
  <c r="R17" i="44"/>
  <c r="AD17" i="44" s="1"/>
  <c r="Q17" i="44"/>
  <c r="AC17" i="44" s="1"/>
  <c r="R16" i="44"/>
  <c r="Q16" i="44"/>
  <c r="R15" i="44"/>
  <c r="Q15" i="44"/>
  <c r="AC15" i="44" s="1"/>
  <c r="R12" i="44"/>
  <c r="R11" i="44" s="1"/>
  <c r="Q12" i="44"/>
  <c r="AD26" i="44"/>
  <c r="S44" i="44"/>
  <c r="Q104" i="19"/>
  <c r="Q105" i="19"/>
  <c r="R97" i="19"/>
  <c r="S97" i="19"/>
  <c r="T97" i="19"/>
  <c r="U97" i="19"/>
  <c r="U160" i="19" s="1"/>
  <c r="D70" i="29"/>
  <c r="G112" i="19"/>
  <c r="H92" i="19"/>
  <c r="J92" i="19"/>
  <c r="M92" i="19"/>
  <c r="O92" i="19"/>
  <c r="G92" i="19"/>
  <c r="M25" i="42" s="1"/>
  <c r="H89" i="19"/>
  <c r="J89" i="19"/>
  <c r="M89" i="19"/>
  <c r="O89" i="19"/>
  <c r="H79" i="19"/>
  <c r="J79" i="19"/>
  <c r="M79" i="19"/>
  <c r="M97" i="19" s="1"/>
  <c r="O79" i="19"/>
  <c r="H33" i="19"/>
  <c r="I33" i="19"/>
  <c r="J33" i="19"/>
  <c r="K33" i="19"/>
  <c r="M33" i="19"/>
  <c r="O33" i="19"/>
  <c r="H29" i="19"/>
  <c r="I29" i="19"/>
  <c r="J29" i="19"/>
  <c r="K29" i="19"/>
  <c r="M29" i="19"/>
  <c r="O29" i="19"/>
  <c r="G29" i="19"/>
  <c r="G33" i="19"/>
  <c r="F37" i="5"/>
  <c r="F33" i="5"/>
  <c r="F32" i="5"/>
  <c r="F31" i="5"/>
  <c r="F30" i="5"/>
  <c r="F29" i="5"/>
  <c r="F28" i="5"/>
  <c r="F27" i="5"/>
  <c r="F26" i="5"/>
  <c r="F25" i="5"/>
  <c r="F24" i="5"/>
  <c r="F23" i="5"/>
  <c r="F22" i="5"/>
  <c r="F18" i="5"/>
  <c r="F17" i="5"/>
  <c r="F16" i="5"/>
  <c r="F15" i="5"/>
  <c r="F14" i="5"/>
  <c r="F13" i="5"/>
  <c r="F7" i="5"/>
  <c r="F8" i="5"/>
  <c r="F9" i="5"/>
  <c r="F6" i="5"/>
  <c r="H37" i="5"/>
  <c r="I37" i="5" s="1"/>
  <c r="J37" i="5" s="1"/>
  <c r="J38" i="5" s="1"/>
  <c r="H33" i="5"/>
  <c r="I33" i="5" s="1"/>
  <c r="J33" i="5" s="1"/>
  <c r="H32" i="5"/>
  <c r="I32" i="5" s="1"/>
  <c r="H31" i="5"/>
  <c r="I31" i="5" s="1"/>
  <c r="H30" i="5"/>
  <c r="I30" i="5" s="1"/>
  <c r="J30" i="5" s="1"/>
  <c r="H29" i="5"/>
  <c r="I29" i="5" s="1"/>
  <c r="J29" i="5" s="1"/>
  <c r="H28" i="5"/>
  <c r="I28" i="5" s="1"/>
  <c r="H27" i="5"/>
  <c r="I27" i="5" s="1"/>
  <c r="H26" i="5"/>
  <c r="I26" i="5" s="1"/>
  <c r="J26" i="5" s="1"/>
  <c r="H25" i="5"/>
  <c r="I25" i="5" s="1"/>
  <c r="J25" i="5" s="1"/>
  <c r="H24" i="5"/>
  <c r="I24" i="5" s="1"/>
  <c r="H23" i="5"/>
  <c r="I23" i="5" s="1"/>
  <c r="H22" i="5"/>
  <c r="I22" i="5" s="1"/>
  <c r="J22" i="5" s="1"/>
  <c r="H18" i="5"/>
  <c r="I18" i="5" s="1"/>
  <c r="H17" i="5"/>
  <c r="I17" i="5" s="1"/>
  <c r="H16" i="5"/>
  <c r="I16" i="5" s="1"/>
  <c r="H15" i="5"/>
  <c r="I15" i="5" s="1"/>
  <c r="H14" i="5"/>
  <c r="I14" i="5" s="1"/>
  <c r="J14" i="5" s="1"/>
  <c r="H13" i="5"/>
  <c r="I13" i="5" s="1"/>
  <c r="H7" i="5"/>
  <c r="I7" i="5" s="1"/>
  <c r="H8" i="5"/>
  <c r="I8" i="5" s="1"/>
  <c r="H9" i="5"/>
  <c r="I9" i="5" s="1"/>
  <c r="H6" i="5"/>
  <c r="I6" i="5" s="1"/>
  <c r="H118" i="1"/>
  <c r="G118" i="1" s="1"/>
  <c r="H117" i="1"/>
  <c r="G117" i="1" s="1"/>
  <c r="H116" i="1"/>
  <c r="G116" i="1" s="1"/>
  <c r="G120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4" i="1"/>
  <c r="G104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89" i="1"/>
  <c r="G89" i="1" s="1"/>
  <c r="H88" i="1"/>
  <c r="G88" i="1" s="1"/>
  <c r="H84" i="1"/>
  <c r="G84" i="1" s="1"/>
  <c r="H80" i="1"/>
  <c r="G80" i="1" s="1"/>
  <c r="H79" i="1"/>
  <c r="G79" i="1" s="1"/>
  <c r="H78" i="1"/>
  <c r="G78" i="1" s="1"/>
  <c r="H77" i="1"/>
  <c r="G77" i="1" s="1"/>
  <c r="G81" i="1" s="1"/>
  <c r="H76" i="1"/>
  <c r="G76" i="1" s="1"/>
  <c r="H75" i="1"/>
  <c r="G75" i="1" s="1"/>
  <c r="H71" i="1"/>
  <c r="G71" i="1" s="1"/>
  <c r="H70" i="1"/>
  <c r="G70" i="1" s="1"/>
  <c r="G72" i="1" s="1"/>
  <c r="H69" i="1"/>
  <c r="G69" i="1" s="1"/>
  <c r="H68" i="1"/>
  <c r="G68" i="1" s="1"/>
  <c r="H67" i="1"/>
  <c r="G67" i="1" s="1"/>
  <c r="H63" i="1"/>
  <c r="G63" i="1" s="1"/>
  <c r="H59" i="1"/>
  <c r="G59" i="1" s="1"/>
  <c r="H58" i="1"/>
  <c r="G58" i="1" s="1"/>
  <c r="H57" i="1"/>
  <c r="G57" i="1" s="1"/>
  <c r="H56" i="1"/>
  <c r="G56" i="1" s="1"/>
  <c r="H55" i="1"/>
  <c r="H51" i="1"/>
  <c r="G51" i="1" s="1"/>
  <c r="H50" i="1"/>
  <c r="G50" i="1" s="1"/>
  <c r="G52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G47" i="1" s="1"/>
  <c r="H33" i="1"/>
  <c r="G33" i="1" s="1"/>
  <c r="H32" i="1"/>
  <c r="G32" i="1" s="1"/>
  <c r="H31" i="1"/>
  <c r="G31" i="1" s="1"/>
  <c r="H7" i="1"/>
  <c r="G7" i="1" s="1"/>
  <c r="H8" i="1"/>
  <c r="G8" i="1" s="1"/>
  <c r="H9" i="1"/>
  <c r="G9" i="1" s="1"/>
  <c r="H10" i="1"/>
  <c r="G10" i="1" s="1"/>
  <c r="H11" i="1"/>
  <c r="G11" i="1" s="1"/>
  <c r="H12" i="1"/>
  <c r="G12" i="1" s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H6" i="1"/>
  <c r="G6" i="1" s="1"/>
  <c r="G105" i="1"/>
  <c r="G101" i="1"/>
  <c r="G90" i="1"/>
  <c r="G85" i="1"/>
  <c r="G64" i="1"/>
  <c r="F118" i="1"/>
  <c r="J118" i="1" s="1"/>
  <c r="F117" i="1"/>
  <c r="J117" i="1" s="1"/>
  <c r="F116" i="1"/>
  <c r="J116" i="1" s="1"/>
  <c r="F115" i="1"/>
  <c r="J115" i="1" s="1"/>
  <c r="F114" i="1"/>
  <c r="J114" i="1" s="1"/>
  <c r="F113" i="1"/>
  <c r="J113" i="1" s="1"/>
  <c r="F112" i="1"/>
  <c r="J112" i="1" s="1"/>
  <c r="F111" i="1"/>
  <c r="J111" i="1" s="1"/>
  <c r="F110" i="1"/>
  <c r="J110" i="1" s="1"/>
  <c r="J120" i="1" s="1"/>
  <c r="F109" i="1"/>
  <c r="J109" i="1" s="1"/>
  <c r="F108" i="1"/>
  <c r="J108" i="1" s="1"/>
  <c r="F104" i="1"/>
  <c r="J104" i="1" s="1"/>
  <c r="F100" i="1"/>
  <c r="J100" i="1" s="1"/>
  <c r="F99" i="1"/>
  <c r="J99" i="1" s="1"/>
  <c r="F98" i="1"/>
  <c r="J98" i="1" s="1"/>
  <c r="F97" i="1"/>
  <c r="J97" i="1" s="1"/>
  <c r="F96" i="1"/>
  <c r="J96" i="1" s="1"/>
  <c r="F95" i="1"/>
  <c r="J95" i="1" s="1"/>
  <c r="F94" i="1"/>
  <c r="J94" i="1" s="1"/>
  <c r="F93" i="1"/>
  <c r="J93" i="1" s="1"/>
  <c r="F89" i="1"/>
  <c r="J89" i="1" s="1"/>
  <c r="F88" i="1"/>
  <c r="J88" i="1" s="1"/>
  <c r="F84" i="1"/>
  <c r="J84" i="1" s="1"/>
  <c r="F80" i="1"/>
  <c r="J80" i="1" s="1"/>
  <c r="F79" i="1"/>
  <c r="J79" i="1" s="1"/>
  <c r="F78" i="1"/>
  <c r="J78" i="1" s="1"/>
  <c r="F77" i="1"/>
  <c r="J77" i="1" s="1"/>
  <c r="F76" i="1"/>
  <c r="J76" i="1" s="1"/>
  <c r="F75" i="1"/>
  <c r="J75" i="1" s="1"/>
  <c r="F71" i="1"/>
  <c r="J71" i="1" s="1"/>
  <c r="F70" i="1"/>
  <c r="J70" i="1" s="1"/>
  <c r="F69" i="1"/>
  <c r="J69" i="1" s="1"/>
  <c r="F68" i="1"/>
  <c r="J68" i="1" s="1"/>
  <c r="F67" i="1"/>
  <c r="J67" i="1" s="1"/>
  <c r="F63" i="1"/>
  <c r="J63" i="1" s="1"/>
  <c r="F59" i="1"/>
  <c r="J59" i="1" s="1"/>
  <c r="F58" i="1"/>
  <c r="J58" i="1" s="1"/>
  <c r="F57" i="1"/>
  <c r="J57" i="1" s="1"/>
  <c r="F56" i="1"/>
  <c r="J56" i="1" s="1"/>
  <c r="F55" i="1"/>
  <c r="F51" i="1"/>
  <c r="J51" i="1" s="1"/>
  <c r="J52" i="1" s="1"/>
  <c r="F50" i="1"/>
  <c r="J50" i="1" s="1"/>
  <c r="F46" i="1"/>
  <c r="J46" i="1" s="1"/>
  <c r="F45" i="1"/>
  <c r="J45" i="1" s="1"/>
  <c r="F44" i="1"/>
  <c r="J44" i="1" s="1"/>
  <c r="F43" i="1"/>
  <c r="J43" i="1" s="1"/>
  <c r="F42" i="1"/>
  <c r="J42" i="1" s="1"/>
  <c r="F41" i="1"/>
  <c r="J41" i="1" s="1"/>
  <c r="F40" i="1"/>
  <c r="J40" i="1" s="1"/>
  <c r="F39" i="1"/>
  <c r="J39" i="1" s="1"/>
  <c r="F38" i="1"/>
  <c r="J38" i="1" s="1"/>
  <c r="F37" i="1"/>
  <c r="J37" i="1" s="1"/>
  <c r="F36" i="1"/>
  <c r="J36" i="1" s="1"/>
  <c r="F35" i="1"/>
  <c r="J35" i="1" s="1"/>
  <c r="F34" i="1"/>
  <c r="J34" i="1" s="1"/>
  <c r="F33" i="1"/>
  <c r="J33" i="1" s="1"/>
  <c r="F32" i="1"/>
  <c r="J32" i="1" s="1"/>
  <c r="F31" i="1"/>
  <c r="J31" i="1" s="1"/>
  <c r="F7" i="1"/>
  <c r="J7" i="1" s="1"/>
  <c r="F8" i="1"/>
  <c r="J8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F26" i="1"/>
  <c r="J26" i="1" s="1"/>
  <c r="F27" i="1"/>
  <c r="J27" i="1" s="1"/>
  <c r="F6" i="1"/>
  <c r="J6" i="1" s="1"/>
  <c r="J46" i="6"/>
  <c r="H54" i="6"/>
  <c r="I54" i="6" s="1"/>
  <c r="J54" i="6" s="1"/>
  <c r="H53" i="6"/>
  <c r="I53" i="6" s="1"/>
  <c r="J52" i="6"/>
  <c r="H48" i="6"/>
  <c r="I48" i="6" s="1"/>
  <c r="H44" i="6"/>
  <c r="I44" i="6" s="1"/>
  <c r="J44" i="6" s="1"/>
  <c r="H43" i="6"/>
  <c r="I43" i="6" s="1"/>
  <c r="J43" i="6" s="1"/>
  <c r="H42" i="6"/>
  <c r="I42" i="6" s="1"/>
  <c r="J42" i="6" s="1"/>
  <c r="H41" i="6"/>
  <c r="I41" i="6" s="1"/>
  <c r="H40" i="6"/>
  <c r="I40" i="6" s="1"/>
  <c r="J40" i="6" s="1"/>
  <c r="H7" i="6"/>
  <c r="I7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/>
  <c r="H20" i="6"/>
  <c r="I20" i="6" s="1"/>
  <c r="H21" i="6"/>
  <c r="I21" i="6"/>
  <c r="H22" i="6"/>
  <c r="I22" i="6" s="1"/>
  <c r="H23" i="6"/>
  <c r="I23" i="6" s="1"/>
  <c r="H24" i="6"/>
  <c r="I24" i="6" s="1"/>
  <c r="H25" i="6"/>
  <c r="I25" i="6" s="1"/>
  <c r="H26" i="6"/>
  <c r="I26" i="6" s="1"/>
  <c r="H27" i="6"/>
  <c r="I27" i="6" s="1"/>
  <c r="H28" i="6"/>
  <c r="I28" i="6" s="1"/>
  <c r="H29" i="6"/>
  <c r="I29" i="6"/>
  <c r="H30" i="6"/>
  <c r="I30" i="6" s="1"/>
  <c r="H31" i="6"/>
  <c r="I31" i="6"/>
  <c r="H32" i="6"/>
  <c r="I32" i="6" s="1"/>
  <c r="H33" i="6"/>
  <c r="I33" i="6" s="1"/>
  <c r="H34" i="6"/>
  <c r="I34" i="6" s="1"/>
  <c r="H35" i="6"/>
  <c r="I35" i="6" s="1"/>
  <c r="H36" i="6"/>
  <c r="I36" i="6" s="1"/>
  <c r="H6" i="6"/>
  <c r="I6" i="6" s="1"/>
  <c r="F7" i="6"/>
  <c r="F8" i="6"/>
  <c r="F9" i="6"/>
  <c r="F10" i="6"/>
  <c r="J10" i="6" s="1"/>
  <c r="F11" i="6"/>
  <c r="F12" i="6"/>
  <c r="F13" i="6"/>
  <c r="F14" i="6"/>
  <c r="F15" i="6"/>
  <c r="F16" i="6"/>
  <c r="F17" i="6"/>
  <c r="F18" i="6"/>
  <c r="F19" i="6"/>
  <c r="F20" i="6"/>
  <c r="F21" i="6"/>
  <c r="J21" i="6" s="1"/>
  <c r="F22" i="6"/>
  <c r="F23" i="6"/>
  <c r="F24" i="6"/>
  <c r="F25" i="6"/>
  <c r="F26" i="6"/>
  <c r="F27" i="6"/>
  <c r="F28" i="6"/>
  <c r="J28" i="6" s="1"/>
  <c r="F29" i="6"/>
  <c r="J29" i="6" s="1"/>
  <c r="F30" i="6"/>
  <c r="F31" i="6"/>
  <c r="F32" i="6"/>
  <c r="F33" i="6"/>
  <c r="F34" i="6"/>
  <c r="F35" i="6"/>
  <c r="F36" i="6"/>
  <c r="F6" i="6"/>
  <c r="K15" i="7"/>
  <c r="K14" i="7"/>
  <c r="F15" i="7"/>
  <c r="H15" i="7"/>
  <c r="F14" i="7"/>
  <c r="J14" i="7" s="1"/>
  <c r="F13" i="7"/>
  <c r="H13" i="7" s="1"/>
  <c r="K13" i="7" s="1"/>
  <c r="K16" i="7" s="1"/>
  <c r="F10" i="7"/>
  <c r="F9" i="7"/>
  <c r="F8" i="7"/>
  <c r="F7" i="7"/>
  <c r="F32" i="36"/>
  <c r="F31" i="36"/>
  <c r="F30" i="36"/>
  <c r="F29" i="36"/>
  <c r="F25" i="36"/>
  <c r="F21" i="36"/>
  <c r="F20" i="36"/>
  <c r="F16" i="36"/>
  <c r="F15" i="36"/>
  <c r="F14" i="36"/>
  <c r="F7" i="36"/>
  <c r="F8" i="36"/>
  <c r="F9" i="36"/>
  <c r="F10" i="36"/>
  <c r="F6" i="36"/>
  <c r="F12" i="10"/>
  <c r="F7" i="10"/>
  <c r="F8" i="10"/>
  <c r="J8" i="10" s="1"/>
  <c r="F6" i="10"/>
  <c r="F24" i="9"/>
  <c r="F23" i="9"/>
  <c r="F20" i="9"/>
  <c r="F19" i="9"/>
  <c r="F18" i="9"/>
  <c r="F17" i="9"/>
  <c r="F16" i="9"/>
  <c r="F15" i="9"/>
  <c r="F7" i="9"/>
  <c r="F8" i="9"/>
  <c r="F9" i="9"/>
  <c r="F10" i="9"/>
  <c r="F11" i="9"/>
  <c r="F6" i="9"/>
  <c r="F43" i="35"/>
  <c r="F42" i="35"/>
  <c r="F41" i="35"/>
  <c r="F40" i="35"/>
  <c r="F26" i="35"/>
  <c r="J26" i="35" s="1"/>
  <c r="F27" i="35"/>
  <c r="F28" i="35"/>
  <c r="F29" i="35"/>
  <c r="F30" i="35"/>
  <c r="J30" i="35" s="1"/>
  <c r="F31" i="35"/>
  <c r="F32" i="35"/>
  <c r="F33" i="35"/>
  <c r="F34" i="35"/>
  <c r="J34" i="35" s="1"/>
  <c r="F35" i="35"/>
  <c r="F36" i="35"/>
  <c r="F25" i="35"/>
  <c r="I43" i="35"/>
  <c r="J43" i="35" s="1"/>
  <c r="I42" i="35"/>
  <c r="I41" i="35"/>
  <c r="J41" i="35" s="1"/>
  <c r="I40" i="35"/>
  <c r="J40" i="35" s="1"/>
  <c r="J13" i="7"/>
  <c r="J15" i="5"/>
  <c r="J32" i="5"/>
  <c r="H9" i="7"/>
  <c r="I9" i="7" s="1"/>
  <c r="J15" i="7"/>
  <c r="H8" i="7"/>
  <c r="I8" i="7" s="1"/>
  <c r="J8" i="7" s="1"/>
  <c r="I27" i="35"/>
  <c r="J27" i="35" s="1"/>
  <c r="I28" i="35"/>
  <c r="J28" i="35" s="1"/>
  <c r="I29" i="35"/>
  <c r="J29" i="35" s="1"/>
  <c r="I33" i="35"/>
  <c r="J33" i="35" s="1"/>
  <c r="I35" i="35"/>
  <c r="J35" i="35" s="1"/>
  <c r="I36" i="35"/>
  <c r="J36" i="35"/>
  <c r="I25" i="35"/>
  <c r="J25" i="35" s="1"/>
  <c r="I20" i="9"/>
  <c r="J20" i="9" s="1"/>
  <c r="I19" i="9"/>
  <c r="J16" i="9"/>
  <c r="I15" i="9"/>
  <c r="I7" i="9"/>
  <c r="J7" i="9" s="1"/>
  <c r="I8" i="9"/>
  <c r="J8" i="9" s="1"/>
  <c r="J9" i="9"/>
  <c r="I10" i="9"/>
  <c r="I11" i="9"/>
  <c r="J11" i="9" s="1"/>
  <c r="H24" i="9"/>
  <c r="I24" i="9" s="1"/>
  <c r="H23" i="9"/>
  <c r="I23" i="9" s="1"/>
  <c r="J23" i="9" s="1"/>
  <c r="H12" i="10"/>
  <c r="I12" i="10" s="1"/>
  <c r="J12" i="10" s="1"/>
  <c r="J13" i="10" s="1"/>
  <c r="H7" i="10"/>
  <c r="I7" i="10" s="1"/>
  <c r="J7" i="10" s="1"/>
  <c r="H6" i="10"/>
  <c r="I6" i="10" s="1"/>
  <c r="H32" i="36"/>
  <c r="I32" i="36" s="1"/>
  <c r="J32" i="36" s="1"/>
  <c r="H31" i="36"/>
  <c r="I31" i="36" s="1"/>
  <c r="J31" i="36" s="1"/>
  <c r="H30" i="36"/>
  <c r="I30" i="36" s="1"/>
  <c r="H29" i="36"/>
  <c r="I29" i="36"/>
  <c r="J29" i="36" s="1"/>
  <c r="H25" i="36"/>
  <c r="I25" i="36" s="1"/>
  <c r="J25" i="36" s="1"/>
  <c r="H21" i="36"/>
  <c r="I21" i="36" s="1"/>
  <c r="H20" i="36"/>
  <c r="I20" i="36" s="1"/>
  <c r="H16" i="36"/>
  <c r="I16" i="36" s="1"/>
  <c r="J16" i="36" s="1"/>
  <c r="H15" i="36"/>
  <c r="I15" i="36" s="1"/>
  <c r="J15" i="36" s="1"/>
  <c r="H14" i="36"/>
  <c r="I14" i="36" s="1"/>
  <c r="J14" i="36" s="1"/>
  <c r="H7" i="36"/>
  <c r="I7" i="36" s="1"/>
  <c r="J7" i="36" s="1"/>
  <c r="H8" i="36"/>
  <c r="I8" i="36" s="1"/>
  <c r="J8" i="36" s="1"/>
  <c r="H9" i="36"/>
  <c r="I9" i="36" s="1"/>
  <c r="J9" i="36" s="1"/>
  <c r="H10" i="36"/>
  <c r="I10" i="36" s="1"/>
  <c r="H6" i="36"/>
  <c r="I6" i="36" s="1"/>
  <c r="G44" i="35"/>
  <c r="G37" i="35"/>
  <c r="G22" i="35"/>
  <c r="G17" i="35"/>
  <c r="G12" i="35"/>
  <c r="J60" i="42"/>
  <c r="N110" i="19" s="1"/>
  <c r="I60" i="42"/>
  <c r="H60" i="42"/>
  <c r="F60" i="42"/>
  <c r="K110" i="19" s="1"/>
  <c r="E60" i="42"/>
  <c r="D68" i="29" s="1"/>
  <c r="D60" i="42"/>
  <c r="G59" i="42"/>
  <c r="K59" i="42"/>
  <c r="G58" i="42"/>
  <c r="K58" i="42" s="1"/>
  <c r="G57" i="42"/>
  <c r="K57" i="42" s="1"/>
  <c r="G56" i="42"/>
  <c r="K56" i="42" s="1"/>
  <c r="G55" i="42"/>
  <c r="K55" i="42"/>
  <c r="G54" i="42"/>
  <c r="K54" i="42" s="1"/>
  <c r="G53" i="42"/>
  <c r="K53" i="42" s="1"/>
  <c r="G52" i="42"/>
  <c r="K52" i="42" s="1"/>
  <c r="G51" i="42"/>
  <c r="K51" i="42" s="1"/>
  <c r="G50" i="42"/>
  <c r="K50" i="42" s="1"/>
  <c r="G49" i="42"/>
  <c r="K49" i="42" s="1"/>
  <c r="G48" i="42"/>
  <c r="K48" i="42" s="1"/>
  <c r="G47" i="42"/>
  <c r="K47" i="42" s="1"/>
  <c r="G46" i="42"/>
  <c r="K46" i="42" s="1"/>
  <c r="G45" i="42"/>
  <c r="K45" i="42" s="1"/>
  <c r="P25" i="44"/>
  <c r="O25" i="44"/>
  <c r="N25" i="44"/>
  <c r="M25" i="44"/>
  <c r="L25" i="44"/>
  <c r="K25" i="44"/>
  <c r="P29" i="44"/>
  <c r="O29" i="44"/>
  <c r="N29" i="44"/>
  <c r="M29" i="44"/>
  <c r="L29" i="44"/>
  <c r="K29" i="44"/>
  <c r="H29" i="44"/>
  <c r="G29" i="44"/>
  <c r="P35" i="44"/>
  <c r="O35" i="44"/>
  <c r="N35" i="44"/>
  <c r="M35" i="44"/>
  <c r="L35" i="44"/>
  <c r="K35" i="44"/>
  <c r="H35" i="44"/>
  <c r="G35" i="44"/>
  <c r="F35" i="44"/>
  <c r="E35" i="44"/>
  <c r="P41" i="44"/>
  <c r="O41" i="44"/>
  <c r="N41" i="44"/>
  <c r="M41" i="44"/>
  <c r="L41" i="44"/>
  <c r="K41" i="44"/>
  <c r="I41" i="44"/>
  <c r="H41" i="44"/>
  <c r="G41" i="44"/>
  <c r="F41" i="44"/>
  <c r="E41" i="44"/>
  <c r="J42" i="44"/>
  <c r="J41" i="44" s="1"/>
  <c r="I42" i="44"/>
  <c r="J39" i="44"/>
  <c r="I39" i="44"/>
  <c r="J38" i="44"/>
  <c r="I38" i="44"/>
  <c r="J37" i="44"/>
  <c r="I37" i="44"/>
  <c r="J36" i="44"/>
  <c r="I36" i="44"/>
  <c r="J33" i="44"/>
  <c r="I33" i="44"/>
  <c r="J32" i="44"/>
  <c r="I32" i="44"/>
  <c r="J31" i="44"/>
  <c r="I31" i="44"/>
  <c r="J30" i="44"/>
  <c r="I30" i="44"/>
  <c r="J27" i="44"/>
  <c r="I27" i="44"/>
  <c r="J26" i="44"/>
  <c r="J25" i="44" s="1"/>
  <c r="I26" i="44"/>
  <c r="I25" i="44" s="1"/>
  <c r="P11" i="44"/>
  <c r="O11" i="44"/>
  <c r="N11" i="44"/>
  <c r="M11" i="44"/>
  <c r="L11" i="44"/>
  <c r="K11" i="44"/>
  <c r="H11" i="44"/>
  <c r="G11" i="44"/>
  <c r="P14" i="44"/>
  <c r="O14" i="44"/>
  <c r="N14" i="44"/>
  <c r="M14" i="44"/>
  <c r="L14" i="44"/>
  <c r="K14" i="44"/>
  <c r="H14" i="44"/>
  <c r="G14" i="44"/>
  <c r="F14" i="44"/>
  <c r="E14" i="44"/>
  <c r="J23" i="44"/>
  <c r="AF23" i="44" s="1"/>
  <c r="C53" i="42" s="1"/>
  <c r="I23" i="44"/>
  <c r="J22" i="44"/>
  <c r="I22" i="44"/>
  <c r="J21" i="44"/>
  <c r="AF21" i="44" s="1"/>
  <c r="C51" i="42" s="1"/>
  <c r="I21" i="44"/>
  <c r="J20" i="44"/>
  <c r="I20" i="44"/>
  <c r="J19" i="44"/>
  <c r="I19" i="44"/>
  <c r="J18" i="44"/>
  <c r="I18" i="44"/>
  <c r="J17" i="44"/>
  <c r="AF17" i="44" s="1"/>
  <c r="C47" i="42" s="1"/>
  <c r="I17" i="44"/>
  <c r="J16" i="44"/>
  <c r="I16" i="44"/>
  <c r="J15" i="44"/>
  <c r="J14" i="44" s="1"/>
  <c r="I15" i="44"/>
  <c r="J12" i="44"/>
  <c r="J11" i="44" s="1"/>
  <c r="I12" i="44"/>
  <c r="I11" i="44" s="1"/>
  <c r="AE38" i="44"/>
  <c r="F29" i="44"/>
  <c r="E29" i="44"/>
  <c r="H25" i="44"/>
  <c r="G25" i="44"/>
  <c r="F25" i="44"/>
  <c r="E25" i="44"/>
  <c r="F11" i="44"/>
  <c r="E11" i="44"/>
  <c r="J35" i="42"/>
  <c r="G58" i="20" s="1"/>
  <c r="N58" i="20" s="1"/>
  <c r="I35" i="42"/>
  <c r="P108" i="19" s="1"/>
  <c r="H35" i="42"/>
  <c r="N108" i="19" s="1"/>
  <c r="F35" i="42"/>
  <c r="E35" i="42"/>
  <c r="D35" i="42"/>
  <c r="C35" i="42"/>
  <c r="G34" i="42"/>
  <c r="K34" i="42" s="1"/>
  <c r="AK65" i="43"/>
  <c r="AJ65" i="43"/>
  <c r="AK55" i="43"/>
  <c r="V56" i="43"/>
  <c r="U56" i="43"/>
  <c r="AH54" i="43"/>
  <c r="AH53" i="43" s="1"/>
  <c r="AG54" i="43"/>
  <c r="AG53" i="43" s="1"/>
  <c r="T54" i="43"/>
  <c r="AJ54" i="43" s="1"/>
  <c r="AJ53" i="43" s="1"/>
  <c r="S54" i="43"/>
  <c r="S53" i="43" s="1"/>
  <c r="AF53" i="43"/>
  <c r="AE53" i="43"/>
  <c r="AD53" i="43"/>
  <c r="AC53" i="43"/>
  <c r="AB53" i="43"/>
  <c r="AA53" i="43"/>
  <c r="Z53" i="43"/>
  <c r="Y53" i="43"/>
  <c r="X53" i="43"/>
  <c r="W53" i="43"/>
  <c r="R53" i="43"/>
  <c r="Q53" i="43"/>
  <c r="P53" i="43"/>
  <c r="O53" i="43"/>
  <c r="N53" i="43"/>
  <c r="M53" i="43"/>
  <c r="L53" i="43"/>
  <c r="K53" i="43"/>
  <c r="J53" i="43"/>
  <c r="I53" i="43"/>
  <c r="H53" i="43"/>
  <c r="G53" i="43"/>
  <c r="F53" i="43"/>
  <c r="E53" i="43"/>
  <c r="D53" i="43"/>
  <c r="C53" i="43"/>
  <c r="AK52" i="43"/>
  <c r="AH51" i="43"/>
  <c r="AH50" i="43" s="1"/>
  <c r="AH56" i="43" s="1"/>
  <c r="AG51" i="43"/>
  <c r="AG50" i="43" s="1"/>
  <c r="T51" i="43"/>
  <c r="AJ51" i="43" s="1"/>
  <c r="S51" i="43"/>
  <c r="AI51" i="43"/>
  <c r="AF50" i="43"/>
  <c r="AF56" i="43" s="1"/>
  <c r="AE50" i="43"/>
  <c r="AE56" i="43" s="1"/>
  <c r="AD50" i="43"/>
  <c r="AD56" i="43" s="1"/>
  <c r="AC50" i="43"/>
  <c r="AB50" i="43"/>
  <c r="AB56" i="43" s="1"/>
  <c r="AA50" i="43"/>
  <c r="AA56" i="43"/>
  <c r="Z50" i="43"/>
  <c r="Z56" i="43" s="1"/>
  <c r="Y50" i="43"/>
  <c r="X50" i="43"/>
  <c r="X56" i="43"/>
  <c r="W50" i="43"/>
  <c r="W56" i="43" s="1"/>
  <c r="S50" i="43"/>
  <c r="R50" i="43"/>
  <c r="R56" i="43" s="1"/>
  <c r="Q50" i="43"/>
  <c r="Q56" i="43"/>
  <c r="P50" i="43"/>
  <c r="P56" i="43" s="1"/>
  <c r="O50" i="43"/>
  <c r="O56" i="43"/>
  <c r="N50" i="43"/>
  <c r="N56" i="43" s="1"/>
  <c r="M50" i="43"/>
  <c r="M56" i="43" s="1"/>
  <c r="L50" i="43"/>
  <c r="L56" i="43" s="1"/>
  <c r="K50" i="43"/>
  <c r="K56" i="43" s="1"/>
  <c r="J50" i="43"/>
  <c r="J56" i="43" s="1"/>
  <c r="I50" i="43"/>
  <c r="I56" i="43"/>
  <c r="H50" i="43"/>
  <c r="H56" i="43" s="1"/>
  <c r="G50" i="43"/>
  <c r="G56" i="43" s="1"/>
  <c r="F50" i="43"/>
  <c r="F56" i="43" s="1"/>
  <c r="E50" i="43"/>
  <c r="E56" i="43" s="1"/>
  <c r="D50" i="43"/>
  <c r="D56" i="43" s="1"/>
  <c r="C50" i="43"/>
  <c r="C56" i="43" s="1"/>
  <c r="AH40" i="43"/>
  <c r="P78" i="19" s="1"/>
  <c r="AG40" i="43"/>
  <c r="T40" i="43"/>
  <c r="N78" i="19" s="1"/>
  <c r="S40" i="43"/>
  <c r="AI40" i="43" s="1"/>
  <c r="AI39" i="43" s="1"/>
  <c r="AH39" i="43"/>
  <c r="AG39" i="43"/>
  <c r="AF39" i="43"/>
  <c r="AE39" i="43"/>
  <c r="AD39" i="43"/>
  <c r="AC39" i="43"/>
  <c r="AB39" i="43"/>
  <c r="AA39" i="43"/>
  <c r="Z39" i="43"/>
  <c r="Y39" i="43"/>
  <c r="X39" i="43"/>
  <c r="W39" i="43"/>
  <c r="V39" i="43"/>
  <c r="V42" i="43" s="1"/>
  <c r="U39" i="43"/>
  <c r="U42" i="43" s="1"/>
  <c r="S39" i="43"/>
  <c r="R39" i="43"/>
  <c r="Q39" i="43"/>
  <c r="P39" i="43"/>
  <c r="O39" i="43"/>
  <c r="N39" i="43"/>
  <c r="M39" i="43"/>
  <c r="L39" i="43"/>
  <c r="K39" i="43"/>
  <c r="J39" i="43"/>
  <c r="I39" i="43"/>
  <c r="H39" i="43"/>
  <c r="G39" i="43"/>
  <c r="F39" i="43"/>
  <c r="E39" i="43"/>
  <c r="D42" i="43"/>
  <c r="D43" i="43" s="1"/>
  <c r="C42" i="43"/>
  <c r="AH37" i="43"/>
  <c r="P76" i="19"/>
  <c r="AG37" i="43"/>
  <c r="AI37" i="43" s="1"/>
  <c r="AO37" i="43" s="1"/>
  <c r="T37" i="43"/>
  <c r="N76" i="19" s="1"/>
  <c r="S37" i="43"/>
  <c r="AH36" i="43"/>
  <c r="P75" i="19" s="1"/>
  <c r="AG36" i="43"/>
  <c r="T36" i="43"/>
  <c r="N75" i="19" s="1"/>
  <c r="S36" i="43"/>
  <c r="AH35" i="43"/>
  <c r="P74" i="19" s="1"/>
  <c r="AG35" i="43"/>
  <c r="T35" i="43"/>
  <c r="N74" i="19" s="1"/>
  <c r="S35" i="43"/>
  <c r="AF34" i="43"/>
  <c r="AE34" i="43"/>
  <c r="AD34" i="43"/>
  <c r="AC34" i="43"/>
  <c r="AB34" i="43"/>
  <c r="AA34" i="43"/>
  <c r="Z34" i="43"/>
  <c r="Y34" i="43"/>
  <c r="X34" i="43"/>
  <c r="W34" i="43"/>
  <c r="R34" i="43"/>
  <c r="Q34" i="43"/>
  <c r="P34" i="43"/>
  <c r="O34" i="43"/>
  <c r="N34" i="43"/>
  <c r="M34" i="43"/>
  <c r="L34" i="43"/>
  <c r="K34" i="43"/>
  <c r="J34" i="43"/>
  <c r="I34" i="43"/>
  <c r="H34" i="43"/>
  <c r="G34" i="43"/>
  <c r="F34" i="43"/>
  <c r="E34" i="43"/>
  <c r="AH32" i="43"/>
  <c r="P72" i="19" s="1"/>
  <c r="AG32" i="43"/>
  <c r="T32" i="43"/>
  <c r="N72" i="19" s="1"/>
  <c r="S32" i="43"/>
  <c r="AH31" i="43"/>
  <c r="AG31" i="43"/>
  <c r="T31" i="43"/>
  <c r="N71" i="19" s="1"/>
  <c r="S31" i="43"/>
  <c r="AH30" i="43"/>
  <c r="P70" i="19"/>
  <c r="AG30" i="43"/>
  <c r="T30" i="43"/>
  <c r="N70" i="19" s="1"/>
  <c r="Q70" i="19" s="1"/>
  <c r="V70" i="19" s="1"/>
  <c r="S30" i="43"/>
  <c r="AH29" i="43"/>
  <c r="AG29" i="43"/>
  <c r="AI29" i="43" s="1"/>
  <c r="AO29" i="43" s="1"/>
  <c r="T29" i="43"/>
  <c r="N69" i="19" s="1"/>
  <c r="S29" i="43"/>
  <c r="AF28" i="43"/>
  <c r="AE28" i="43"/>
  <c r="AD28" i="43"/>
  <c r="AC28" i="43"/>
  <c r="AB28" i="43"/>
  <c r="AA28" i="43"/>
  <c r="Z28" i="43"/>
  <c r="Y28" i="43"/>
  <c r="X28" i="43"/>
  <c r="W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AH26" i="43"/>
  <c r="P67" i="19" s="1"/>
  <c r="AG26" i="43"/>
  <c r="T26" i="43"/>
  <c r="N67" i="19" s="1"/>
  <c r="S26" i="43"/>
  <c r="AH25" i="43"/>
  <c r="P66" i="19" s="1"/>
  <c r="AG25" i="43"/>
  <c r="AG24" i="43" s="1"/>
  <c r="T25" i="43"/>
  <c r="N66" i="19" s="1"/>
  <c r="Q66" i="19" s="1"/>
  <c r="V66" i="19" s="1"/>
  <c r="S25" i="43"/>
  <c r="AF24" i="43"/>
  <c r="AE24" i="43"/>
  <c r="AD24" i="43"/>
  <c r="AC24" i="43"/>
  <c r="AB24" i="43"/>
  <c r="AA24" i="43"/>
  <c r="Z24" i="43"/>
  <c r="Y24" i="43"/>
  <c r="X24" i="43"/>
  <c r="W24" i="43"/>
  <c r="R24" i="43"/>
  <c r="Q24" i="43"/>
  <c r="P24" i="43"/>
  <c r="O24" i="43"/>
  <c r="N24" i="43"/>
  <c r="M24" i="43"/>
  <c r="L24" i="43"/>
  <c r="K24" i="43"/>
  <c r="J24" i="43"/>
  <c r="I24" i="43"/>
  <c r="H24" i="43"/>
  <c r="G24" i="43"/>
  <c r="F24" i="43"/>
  <c r="E24" i="43"/>
  <c r="AH22" i="43"/>
  <c r="P64" i="19" s="1"/>
  <c r="AG22" i="43"/>
  <c r="T22" i="43"/>
  <c r="N64" i="19" s="1"/>
  <c r="Q64" i="19" s="1"/>
  <c r="V64" i="19" s="1"/>
  <c r="S22" i="43"/>
  <c r="AH21" i="43"/>
  <c r="P63" i="19" s="1"/>
  <c r="AG21" i="43"/>
  <c r="T21" i="43"/>
  <c r="N63" i="19" s="1"/>
  <c r="S21" i="43"/>
  <c r="AH20" i="43"/>
  <c r="P62" i="19" s="1"/>
  <c r="AG20" i="43"/>
  <c r="T20" i="43"/>
  <c r="N62" i="19" s="1"/>
  <c r="S20" i="43"/>
  <c r="AH19" i="43"/>
  <c r="P61" i="19" s="1"/>
  <c r="AG19" i="43"/>
  <c r="T19" i="43"/>
  <c r="N61" i="19" s="1"/>
  <c r="S19" i="43"/>
  <c r="AI19" i="43" s="1"/>
  <c r="AO19" i="43" s="1"/>
  <c r="AH18" i="43"/>
  <c r="P60" i="19" s="1"/>
  <c r="AG18" i="43"/>
  <c r="T18" i="43"/>
  <c r="N60" i="19" s="1"/>
  <c r="S18" i="43"/>
  <c r="AH17" i="43"/>
  <c r="AG17" i="43"/>
  <c r="T17" i="43"/>
  <c r="N59" i="19" s="1"/>
  <c r="S17" i="43"/>
  <c r="AH16" i="43"/>
  <c r="P58" i="19" s="1"/>
  <c r="AG16" i="43"/>
  <c r="T16" i="43"/>
  <c r="N58" i="19" s="1"/>
  <c r="S16" i="43"/>
  <c r="AH15" i="43"/>
  <c r="P57" i="19" s="1"/>
  <c r="AG15" i="43"/>
  <c r="T15" i="43"/>
  <c r="N57" i="19" s="1"/>
  <c r="S15" i="43"/>
  <c r="AH14" i="43"/>
  <c r="AG14" i="43"/>
  <c r="T14" i="43"/>
  <c r="N56" i="19" s="1"/>
  <c r="S14" i="43"/>
  <c r="AI14" i="43" s="1"/>
  <c r="AO14" i="43" s="1"/>
  <c r="AF13" i="43"/>
  <c r="AE13" i="43"/>
  <c r="AD13" i="43"/>
  <c r="AC13" i="43"/>
  <c r="AB13" i="43"/>
  <c r="AA13" i="43"/>
  <c r="Z13" i="43"/>
  <c r="Y13" i="43"/>
  <c r="X13" i="43"/>
  <c r="W13" i="43"/>
  <c r="R13" i="43"/>
  <c r="Q13" i="43"/>
  <c r="P13" i="43"/>
  <c r="O13" i="43"/>
  <c r="N13" i="43"/>
  <c r="M13" i="43"/>
  <c r="L13" i="43"/>
  <c r="K13" i="43"/>
  <c r="J13" i="43"/>
  <c r="I13" i="43"/>
  <c r="H13" i="43"/>
  <c r="G13" i="43"/>
  <c r="F13" i="43"/>
  <c r="E13" i="43"/>
  <c r="AH11" i="43"/>
  <c r="AG11" i="43"/>
  <c r="AG10" i="43" s="1"/>
  <c r="T11" i="43"/>
  <c r="N54" i="19" s="1"/>
  <c r="N53" i="19" s="1"/>
  <c r="S11" i="43"/>
  <c r="S10" i="43" s="1"/>
  <c r="AF10" i="43"/>
  <c r="AE10" i="43"/>
  <c r="AD10" i="43"/>
  <c r="AC10" i="43"/>
  <c r="AB10" i="43"/>
  <c r="AA10" i="43"/>
  <c r="Z10" i="43"/>
  <c r="Y10" i="43"/>
  <c r="X10" i="43"/>
  <c r="W10" i="43"/>
  <c r="R10" i="43"/>
  <c r="Q10" i="43"/>
  <c r="P10" i="43"/>
  <c r="O10" i="43"/>
  <c r="N10" i="43"/>
  <c r="M10" i="43"/>
  <c r="L10" i="43"/>
  <c r="K10" i="43"/>
  <c r="J10" i="43"/>
  <c r="I10" i="43"/>
  <c r="H10" i="43"/>
  <c r="G10" i="43"/>
  <c r="F10" i="43"/>
  <c r="E10" i="43"/>
  <c r="J24" i="42"/>
  <c r="G57" i="20" s="1"/>
  <c r="I24" i="42"/>
  <c r="H24" i="42"/>
  <c r="E24" i="42"/>
  <c r="W83" i="19"/>
  <c r="AJ30" i="43"/>
  <c r="AP30" i="43" s="1"/>
  <c r="AJ32" i="43"/>
  <c r="AP32" i="43" s="1"/>
  <c r="AH10" i="43"/>
  <c r="P54" i="19"/>
  <c r="O42" i="43"/>
  <c r="AA42" i="43"/>
  <c r="T39" i="43"/>
  <c r="AJ11" i="43"/>
  <c r="T10" i="43"/>
  <c r="AI11" i="43"/>
  <c r="AI10" i="43" s="1"/>
  <c r="AO10" i="43" s="1"/>
  <c r="P56" i="19"/>
  <c r="AH28" i="43"/>
  <c r="P69" i="19"/>
  <c r="X42" i="43"/>
  <c r="D47" i="29" s="1"/>
  <c r="AJ37" i="43"/>
  <c r="AP37" i="43" s="1"/>
  <c r="N42" i="43"/>
  <c r="D44" i="29" s="1"/>
  <c r="I42" i="43"/>
  <c r="G42" i="43"/>
  <c r="K42" i="43"/>
  <c r="T50" i="43"/>
  <c r="S24" i="43"/>
  <c r="AJ36" i="43"/>
  <c r="AP36" i="43" s="1"/>
  <c r="S34" i="43"/>
  <c r="AJ25" i="43"/>
  <c r="C18" i="42"/>
  <c r="C23" i="42"/>
  <c r="P44" i="44"/>
  <c r="D63" i="29" s="1"/>
  <c r="D44" i="44"/>
  <c r="D46" i="44" s="1"/>
  <c r="H44" i="44"/>
  <c r="D59" i="29" s="1"/>
  <c r="C44" i="44"/>
  <c r="N44" i="44"/>
  <c r="D62" i="29" s="1"/>
  <c r="G44" i="44"/>
  <c r="E44" i="44"/>
  <c r="M44" i="44"/>
  <c r="F44" i="44"/>
  <c r="D58" i="29" s="1"/>
  <c r="K44" i="44"/>
  <c r="L44" i="44"/>
  <c r="D61" i="29" s="1"/>
  <c r="AE15" i="44"/>
  <c r="AE17" i="44"/>
  <c r="AE19" i="44"/>
  <c r="AE21" i="44"/>
  <c r="AE31" i="44"/>
  <c r="AE33" i="44"/>
  <c r="AF26" i="44"/>
  <c r="C54" i="42" s="1"/>
  <c r="AF37" i="44"/>
  <c r="AF39" i="44"/>
  <c r="AE23" i="44"/>
  <c r="AE27" i="44"/>
  <c r="G35" i="42"/>
  <c r="AO51" i="43"/>
  <c r="AI50" i="43"/>
  <c r="AJ40" i="43"/>
  <c r="AJ39" i="43"/>
  <c r="AI54" i="43"/>
  <c r="AI53" i="43" s="1"/>
  <c r="K7" i="7"/>
  <c r="K8" i="7"/>
  <c r="K9" i="7"/>
  <c r="K10" i="7"/>
  <c r="K6" i="7"/>
  <c r="AP25" i="43"/>
  <c r="AO50" i="43"/>
  <c r="F103" i="39"/>
  <c r="C34" i="5"/>
  <c r="C19" i="5"/>
  <c r="E119" i="39"/>
  <c r="D119" i="39"/>
  <c r="E113" i="39"/>
  <c r="D113" i="39"/>
  <c r="E109" i="39"/>
  <c r="D109" i="39"/>
  <c r="E98" i="39"/>
  <c r="D98" i="39"/>
  <c r="E95" i="39"/>
  <c r="D95" i="39"/>
  <c r="F104" i="39"/>
  <c r="F86" i="39"/>
  <c r="F84" i="39"/>
  <c r="F79" i="39"/>
  <c r="F78" i="39"/>
  <c r="F76" i="39"/>
  <c r="F72" i="39"/>
  <c r="F71" i="39"/>
  <c r="F70" i="39"/>
  <c r="F68" i="39"/>
  <c r="F67" i="39"/>
  <c r="F66" i="39"/>
  <c r="F65" i="39"/>
  <c r="F64" i="39"/>
  <c r="F63" i="39"/>
  <c r="F62" i="39"/>
  <c r="F61" i="39"/>
  <c r="F57" i="39"/>
  <c r="F56" i="39"/>
  <c r="F52" i="39"/>
  <c r="F51" i="39"/>
  <c r="F14" i="39"/>
  <c r="E146" i="39"/>
  <c r="D146" i="39"/>
  <c r="E140" i="39"/>
  <c r="D140" i="39"/>
  <c r="E127" i="39"/>
  <c r="D127" i="39"/>
  <c r="E124" i="39"/>
  <c r="D124" i="39"/>
  <c r="E60" i="39"/>
  <c r="D60" i="39"/>
  <c r="E50" i="39"/>
  <c r="D50" i="39"/>
  <c r="E42" i="39"/>
  <c r="D42" i="39"/>
  <c r="E38" i="39"/>
  <c r="D38" i="39"/>
  <c r="E33" i="39"/>
  <c r="D33" i="39"/>
  <c r="E17" i="39"/>
  <c r="D17" i="39"/>
  <c r="E12" i="39"/>
  <c r="D12" i="39"/>
  <c r="D33" i="36"/>
  <c r="E33" i="36"/>
  <c r="F33" i="36"/>
  <c r="G33" i="36"/>
  <c r="H33" i="36"/>
  <c r="I33" i="36"/>
  <c r="C33" i="36"/>
  <c r="G69" i="38"/>
  <c r="F69" i="38"/>
  <c r="G67" i="38"/>
  <c r="F67" i="38"/>
  <c r="G65" i="38"/>
  <c r="F65" i="38"/>
  <c r="H70" i="38"/>
  <c r="H68" i="38"/>
  <c r="H66" i="38"/>
  <c r="H64" i="38"/>
  <c r="F63" i="38"/>
  <c r="H37" i="38"/>
  <c r="H35" i="38" s="1"/>
  <c r="F56" i="38"/>
  <c r="G58" i="38"/>
  <c r="F58" i="38"/>
  <c r="G56" i="38"/>
  <c r="D16" i="7"/>
  <c r="E16" i="7"/>
  <c r="F16" i="7"/>
  <c r="G16" i="7"/>
  <c r="I16" i="7"/>
  <c r="J16" i="7"/>
  <c r="C16" i="7"/>
  <c r="D11" i="36"/>
  <c r="E11" i="36"/>
  <c r="F11" i="36"/>
  <c r="G11" i="36"/>
  <c r="H11" i="36"/>
  <c r="D17" i="36"/>
  <c r="E17" i="36"/>
  <c r="F17" i="36"/>
  <c r="G17" i="36"/>
  <c r="H17" i="36"/>
  <c r="I17" i="36"/>
  <c r="D22" i="36"/>
  <c r="E22" i="36"/>
  <c r="F22" i="36"/>
  <c r="G22" i="36"/>
  <c r="H22" i="36"/>
  <c r="D26" i="36"/>
  <c r="E26" i="36"/>
  <c r="F26" i="36"/>
  <c r="G26" i="36"/>
  <c r="H26" i="36"/>
  <c r="I26" i="36"/>
  <c r="J26" i="36"/>
  <c r="C26" i="36"/>
  <c r="C22" i="36"/>
  <c r="C17" i="36"/>
  <c r="C11" i="36"/>
  <c r="D9" i="10"/>
  <c r="E9" i="10"/>
  <c r="F9" i="10"/>
  <c r="G9" i="10"/>
  <c r="D13" i="10"/>
  <c r="E13" i="10"/>
  <c r="F13" i="10"/>
  <c r="F14" i="10" s="1"/>
  <c r="G13" i="10"/>
  <c r="H13" i="10"/>
  <c r="I13" i="10"/>
  <c r="E14" i="10"/>
  <c r="C9" i="10"/>
  <c r="C13" i="10"/>
  <c r="D12" i="9"/>
  <c r="E12" i="9"/>
  <c r="F12" i="9"/>
  <c r="G12" i="9"/>
  <c r="H12" i="9"/>
  <c r="D21" i="9"/>
  <c r="E21" i="9"/>
  <c r="F21" i="9"/>
  <c r="G21" i="9"/>
  <c r="H21" i="9"/>
  <c r="D25" i="9"/>
  <c r="E25" i="9"/>
  <c r="F25" i="9"/>
  <c r="G25" i="9"/>
  <c r="H25" i="9"/>
  <c r="C12" i="9"/>
  <c r="K43" i="35"/>
  <c r="K42" i="35"/>
  <c r="K41" i="35"/>
  <c r="K40" i="35"/>
  <c r="K44" i="35" s="1"/>
  <c r="K36" i="35"/>
  <c r="K35" i="35"/>
  <c r="K34" i="35"/>
  <c r="K33" i="35"/>
  <c r="K32" i="35"/>
  <c r="K30" i="35"/>
  <c r="K29" i="35"/>
  <c r="K28" i="35"/>
  <c r="K27" i="35"/>
  <c r="K26" i="35"/>
  <c r="K25" i="35"/>
  <c r="K21" i="35"/>
  <c r="K22" i="35" s="1"/>
  <c r="K20" i="35"/>
  <c r="K16" i="35"/>
  <c r="K15" i="35"/>
  <c r="D12" i="35"/>
  <c r="E12" i="35"/>
  <c r="F12" i="35"/>
  <c r="J12" i="35"/>
  <c r="D17" i="35"/>
  <c r="E17" i="35"/>
  <c r="F17" i="35"/>
  <c r="H17" i="35"/>
  <c r="I17" i="35"/>
  <c r="J17" i="35"/>
  <c r="D22" i="35"/>
  <c r="E22" i="35"/>
  <c r="F22" i="35"/>
  <c r="H22" i="35"/>
  <c r="I22" i="35"/>
  <c r="J22" i="35"/>
  <c r="D37" i="35"/>
  <c r="E37" i="35"/>
  <c r="F37" i="35"/>
  <c r="D44" i="35"/>
  <c r="E44" i="35"/>
  <c r="F44" i="35"/>
  <c r="H44" i="35"/>
  <c r="I44" i="35"/>
  <c r="K7" i="35"/>
  <c r="K8" i="35"/>
  <c r="K9" i="35"/>
  <c r="K10" i="35"/>
  <c r="K11" i="35"/>
  <c r="K6" i="35"/>
  <c r="K12" i="35" s="1"/>
  <c r="D6" i="7"/>
  <c r="E6" i="7"/>
  <c r="E11" i="7" s="1"/>
  <c r="E17" i="7" s="1"/>
  <c r="F6" i="7"/>
  <c r="D11" i="7"/>
  <c r="D17" i="7" s="1"/>
  <c r="F37" i="6"/>
  <c r="G37" i="6"/>
  <c r="H37" i="6"/>
  <c r="F45" i="6"/>
  <c r="G45" i="6"/>
  <c r="F49" i="6"/>
  <c r="G49" i="6"/>
  <c r="H49" i="6"/>
  <c r="F55" i="6"/>
  <c r="G55" i="6"/>
  <c r="H55" i="6"/>
  <c r="C37" i="6"/>
  <c r="D37" i="6"/>
  <c r="E37" i="6"/>
  <c r="C45" i="6"/>
  <c r="D45" i="6"/>
  <c r="E45" i="6"/>
  <c r="C49" i="6"/>
  <c r="D49" i="6"/>
  <c r="E49" i="6"/>
  <c r="E56" i="6" s="1"/>
  <c r="C55" i="6"/>
  <c r="D55" i="6"/>
  <c r="E55" i="6"/>
  <c r="D28" i="1"/>
  <c r="E28" i="1"/>
  <c r="F28" i="1"/>
  <c r="I28" i="1"/>
  <c r="K28" i="1"/>
  <c r="L28" i="1"/>
  <c r="D47" i="1"/>
  <c r="E47" i="1"/>
  <c r="F47" i="1"/>
  <c r="H47" i="1"/>
  <c r="I47" i="1"/>
  <c r="K47" i="1"/>
  <c r="L47" i="1"/>
  <c r="W35" i="19" s="1"/>
  <c r="D52" i="1"/>
  <c r="E52" i="1"/>
  <c r="F52" i="1"/>
  <c r="H52" i="1"/>
  <c r="I52" i="1"/>
  <c r="K52" i="1"/>
  <c r="L52" i="1"/>
  <c r="W36" i="19" s="1"/>
  <c r="D64" i="1"/>
  <c r="E64" i="1"/>
  <c r="F64" i="1"/>
  <c r="H64" i="1"/>
  <c r="I64" i="1"/>
  <c r="J64" i="1"/>
  <c r="K64" i="1"/>
  <c r="L64" i="1"/>
  <c r="N37" i="19" s="1"/>
  <c r="D72" i="1"/>
  <c r="E72" i="1"/>
  <c r="F72" i="1"/>
  <c r="I72" i="1"/>
  <c r="K72" i="1"/>
  <c r="L72" i="1"/>
  <c r="D81" i="1"/>
  <c r="E81" i="1"/>
  <c r="F81" i="1"/>
  <c r="I81" i="1"/>
  <c r="K81" i="1"/>
  <c r="L81" i="1"/>
  <c r="N38" i="19" s="1"/>
  <c r="Q38" i="19" s="1"/>
  <c r="D85" i="1"/>
  <c r="E85" i="1"/>
  <c r="F85" i="1"/>
  <c r="H85" i="1"/>
  <c r="I85" i="1"/>
  <c r="J85" i="1"/>
  <c r="K85" i="1"/>
  <c r="L85" i="1"/>
  <c r="D90" i="1"/>
  <c r="E90" i="1"/>
  <c r="F90" i="1"/>
  <c r="H90" i="1"/>
  <c r="I90" i="1"/>
  <c r="K90" i="1"/>
  <c r="L90" i="1"/>
  <c r="D101" i="1"/>
  <c r="E101" i="1"/>
  <c r="F101" i="1"/>
  <c r="H101" i="1"/>
  <c r="I101" i="1"/>
  <c r="J101" i="1"/>
  <c r="K101" i="1"/>
  <c r="L101" i="1"/>
  <c r="D105" i="1"/>
  <c r="E105" i="1"/>
  <c r="F105" i="1"/>
  <c r="H105" i="1"/>
  <c r="I105" i="1"/>
  <c r="J105" i="1"/>
  <c r="K105" i="1"/>
  <c r="L105" i="1"/>
  <c r="D120" i="1"/>
  <c r="D121" i="1" s="1"/>
  <c r="E120" i="1"/>
  <c r="F120" i="1"/>
  <c r="H120" i="1"/>
  <c r="I120" i="1"/>
  <c r="K120" i="1"/>
  <c r="L120" i="1"/>
  <c r="C47" i="1"/>
  <c r="C28" i="1"/>
  <c r="C72" i="1"/>
  <c r="C81" i="1"/>
  <c r="C85" i="1"/>
  <c r="C90" i="1"/>
  <c r="C105" i="1"/>
  <c r="C120" i="1"/>
  <c r="I38" i="5"/>
  <c r="F56" i="6"/>
  <c r="H34" i="36"/>
  <c r="G11" i="7"/>
  <c r="G17" i="7" s="1"/>
  <c r="D56" i="6"/>
  <c r="D26" i="9"/>
  <c r="G14" i="10"/>
  <c r="E45" i="35"/>
  <c r="C10" i="5"/>
  <c r="D38" i="5"/>
  <c r="D34" i="5"/>
  <c r="D19" i="5"/>
  <c r="D10" i="5"/>
  <c r="D26" i="29"/>
  <c r="D22" i="29" s="1"/>
  <c r="L146" i="19"/>
  <c r="L15" i="12"/>
  <c r="J6" i="12"/>
  <c r="C44" i="35"/>
  <c r="C37" i="35"/>
  <c r="C22" i="35"/>
  <c r="C17" i="35"/>
  <c r="C12" i="35"/>
  <c r="C21" i="9"/>
  <c r="L8" i="12"/>
  <c r="M8" i="12" s="1"/>
  <c r="G117" i="19"/>
  <c r="G131" i="19" s="1"/>
  <c r="H117" i="19"/>
  <c r="I117" i="19"/>
  <c r="J117" i="19"/>
  <c r="K117" i="19"/>
  <c r="M117" i="19"/>
  <c r="O117" i="19"/>
  <c r="G15" i="12"/>
  <c r="L7" i="12"/>
  <c r="O7" i="12" s="1"/>
  <c r="L9" i="12"/>
  <c r="O9" i="12" s="1"/>
  <c r="L6" i="12"/>
  <c r="J9" i="12"/>
  <c r="J8" i="12"/>
  <c r="J7" i="12"/>
  <c r="K28" i="12"/>
  <c r="G15" i="20" s="1"/>
  <c r="N15" i="20" s="1"/>
  <c r="N59" i="20"/>
  <c r="L144" i="19"/>
  <c r="L145" i="19"/>
  <c r="Q145" i="19" s="1"/>
  <c r="V145" i="19" s="1"/>
  <c r="L147" i="19"/>
  <c r="L148" i="19"/>
  <c r="L149" i="19"/>
  <c r="Q149" i="19" s="1"/>
  <c r="V149" i="19" s="1"/>
  <c r="L152" i="19"/>
  <c r="Q152" i="19" s="1"/>
  <c r="V152" i="19" s="1"/>
  <c r="L153" i="19"/>
  <c r="Q153" i="19" s="1"/>
  <c r="V153" i="19" s="1"/>
  <c r="L154" i="19"/>
  <c r="L155" i="19"/>
  <c r="D14" i="29"/>
  <c r="H158" i="19"/>
  <c r="J158" i="19"/>
  <c r="M158" i="19"/>
  <c r="O158" i="19"/>
  <c r="H28" i="12"/>
  <c r="D17" i="12"/>
  <c r="D29" i="12" s="1"/>
  <c r="C17" i="12"/>
  <c r="I17" i="12"/>
  <c r="P26" i="19" s="1"/>
  <c r="O6" i="12"/>
  <c r="O27" i="12"/>
  <c r="L21" i="12"/>
  <c r="L22" i="12"/>
  <c r="L20" i="12"/>
  <c r="I28" i="12"/>
  <c r="G65" i="19"/>
  <c r="G53" i="19"/>
  <c r="G55" i="19"/>
  <c r="G68" i="19"/>
  <c r="G73" i="19"/>
  <c r="G77" i="19"/>
  <c r="G101" i="19"/>
  <c r="G16" i="19"/>
  <c r="G22" i="19"/>
  <c r="G24" i="19"/>
  <c r="G43" i="19"/>
  <c r="G46" i="19"/>
  <c r="G49" i="19" s="1"/>
  <c r="G129" i="19"/>
  <c r="G133" i="19"/>
  <c r="G137" i="19" s="1"/>
  <c r="Q133" i="19"/>
  <c r="Q137" i="19" s="1"/>
  <c r="L133" i="19"/>
  <c r="L137" i="19" s="1"/>
  <c r="H96" i="20"/>
  <c r="I96" i="20"/>
  <c r="J96" i="20"/>
  <c r="K96" i="20"/>
  <c r="L96" i="20"/>
  <c r="M96" i="20"/>
  <c r="N95" i="20"/>
  <c r="H88" i="20"/>
  <c r="I88" i="20"/>
  <c r="J88" i="20"/>
  <c r="K88" i="20"/>
  <c r="M88" i="20"/>
  <c r="N85" i="20"/>
  <c r="N86" i="20"/>
  <c r="N87" i="20"/>
  <c r="N74" i="20"/>
  <c r="N73" i="20"/>
  <c r="N72" i="20"/>
  <c r="N71" i="20"/>
  <c r="N70" i="20"/>
  <c r="N69" i="20"/>
  <c r="H75" i="20"/>
  <c r="I75" i="20"/>
  <c r="J75" i="20"/>
  <c r="K75" i="20"/>
  <c r="L75" i="20"/>
  <c r="M75" i="20"/>
  <c r="H60" i="20"/>
  <c r="I60" i="20"/>
  <c r="J60" i="20"/>
  <c r="K60" i="20"/>
  <c r="M60" i="20"/>
  <c r="M66" i="20" s="1"/>
  <c r="M77" i="20" s="1"/>
  <c r="H56" i="20"/>
  <c r="I56" i="20"/>
  <c r="J56" i="20"/>
  <c r="J66" i="20" s="1"/>
  <c r="K56" i="20"/>
  <c r="L56" i="20"/>
  <c r="M56" i="20"/>
  <c r="H37" i="20"/>
  <c r="I37" i="20"/>
  <c r="J37" i="20"/>
  <c r="K37" i="20"/>
  <c r="L37" i="20"/>
  <c r="L39" i="20" s="1"/>
  <c r="M37" i="20"/>
  <c r="N37" i="20"/>
  <c r="H33" i="20"/>
  <c r="I33" i="20"/>
  <c r="J33" i="20"/>
  <c r="J39" i="20" s="1"/>
  <c r="J41" i="20" s="1"/>
  <c r="K33" i="20"/>
  <c r="L33" i="20"/>
  <c r="M33" i="20"/>
  <c r="N33" i="20"/>
  <c r="H30" i="20"/>
  <c r="J30" i="20"/>
  <c r="H16" i="20"/>
  <c r="I16" i="20"/>
  <c r="J16" i="20"/>
  <c r="K16" i="20"/>
  <c r="M16" i="20"/>
  <c r="E96" i="20"/>
  <c r="G96" i="20"/>
  <c r="D96" i="20"/>
  <c r="E88" i="20"/>
  <c r="G88" i="20"/>
  <c r="D75" i="20"/>
  <c r="E75" i="20"/>
  <c r="G75" i="20"/>
  <c r="E60" i="20"/>
  <c r="E56" i="20"/>
  <c r="E37" i="20"/>
  <c r="G37" i="20"/>
  <c r="E33" i="20"/>
  <c r="E39" i="20" s="1"/>
  <c r="E29" i="20"/>
  <c r="G29" i="20"/>
  <c r="E24" i="20"/>
  <c r="E30" i="20" s="1"/>
  <c r="G24" i="20"/>
  <c r="G30" i="20" s="1"/>
  <c r="D16" i="20"/>
  <c r="D60" i="20"/>
  <c r="D56" i="20"/>
  <c r="D33" i="20"/>
  <c r="D37" i="20"/>
  <c r="D88" i="20"/>
  <c r="L106" i="19"/>
  <c r="L107" i="19"/>
  <c r="L23" i="19"/>
  <c r="L22" i="19" s="1"/>
  <c r="N22" i="19"/>
  <c r="P22" i="19"/>
  <c r="N16" i="19"/>
  <c r="D29" i="29"/>
  <c r="D32" i="29"/>
  <c r="D35" i="29"/>
  <c r="C11" i="7"/>
  <c r="C17" i="7" s="1"/>
  <c r="C19" i="7" s="1"/>
  <c r="F38" i="5"/>
  <c r="E38" i="5"/>
  <c r="E34" i="5"/>
  <c r="E19" i="5"/>
  <c r="E10" i="5"/>
  <c r="C101" i="1"/>
  <c r="C64" i="1"/>
  <c r="C52" i="1"/>
  <c r="C25" i="9"/>
  <c r="N94" i="20"/>
  <c r="N96" i="20" s="1"/>
  <c r="N84" i="20"/>
  <c r="L84" i="20"/>
  <c r="N83" i="20"/>
  <c r="L83" i="20"/>
  <c r="N61" i="20"/>
  <c r="L61" i="20"/>
  <c r="M29" i="20"/>
  <c r="K29" i="20"/>
  <c r="I29" i="20"/>
  <c r="D29" i="20"/>
  <c r="N28" i="20"/>
  <c r="L28" i="20"/>
  <c r="N27" i="20"/>
  <c r="L27" i="20"/>
  <c r="M24" i="20"/>
  <c r="M30" i="20" s="1"/>
  <c r="K24" i="20"/>
  <c r="K30" i="20" s="1"/>
  <c r="I24" i="20"/>
  <c r="D24" i="20"/>
  <c r="D30" i="20" s="1"/>
  <c r="N23" i="20"/>
  <c r="L23" i="20"/>
  <c r="N22" i="20"/>
  <c r="L22" i="20"/>
  <c r="N21" i="20"/>
  <c r="L21" i="20"/>
  <c r="N20" i="20"/>
  <c r="L20" i="20"/>
  <c r="L156" i="19"/>
  <c r="L143" i="19"/>
  <c r="N143" i="19" s="1"/>
  <c r="Q129" i="19"/>
  <c r="P129" i="19"/>
  <c r="N129" i="19"/>
  <c r="L129" i="19"/>
  <c r="L123" i="19"/>
  <c r="Q123" i="19" s="1"/>
  <c r="V123" i="19" s="1"/>
  <c r="L122" i="19"/>
  <c r="Q122" i="19" s="1"/>
  <c r="V122" i="19" s="1"/>
  <c r="P101" i="19"/>
  <c r="N101" i="19"/>
  <c r="L100" i="19"/>
  <c r="L78" i="19"/>
  <c r="Q78" i="19" s="1"/>
  <c r="V78" i="19" s="1"/>
  <c r="V77" i="19" s="1"/>
  <c r="L76" i="19"/>
  <c r="L75" i="19"/>
  <c r="L74" i="19"/>
  <c r="L72" i="19"/>
  <c r="L68" i="19" s="1"/>
  <c r="L71" i="19"/>
  <c r="L70" i="19"/>
  <c r="L69" i="19"/>
  <c r="L67" i="19"/>
  <c r="L65" i="19" s="1"/>
  <c r="L66" i="19"/>
  <c r="L64" i="19"/>
  <c r="L63" i="19"/>
  <c r="L62" i="19"/>
  <c r="L61" i="19"/>
  <c r="L60" i="19"/>
  <c r="L59" i="19"/>
  <c r="L58" i="19"/>
  <c r="L57" i="19"/>
  <c r="L56" i="19"/>
  <c r="L54" i="19"/>
  <c r="L53" i="19" s="1"/>
  <c r="L47" i="19"/>
  <c r="Q47" i="19" s="1"/>
  <c r="P46" i="19"/>
  <c r="N46" i="19"/>
  <c r="L45" i="19"/>
  <c r="Q45" i="19" s="1"/>
  <c r="V45" i="19" s="1"/>
  <c r="L44" i="19"/>
  <c r="Q44" i="19" s="1"/>
  <c r="P43" i="19"/>
  <c r="P49" i="19"/>
  <c r="N43" i="19"/>
  <c r="N49" i="19" s="1"/>
  <c r="L34" i="19"/>
  <c r="P34" i="19" s="1"/>
  <c r="L30" i="19"/>
  <c r="P30" i="19" s="1"/>
  <c r="U29" i="19"/>
  <c r="S29" i="19"/>
  <c r="S160" i="19" s="1"/>
  <c r="L28" i="19"/>
  <c r="Q28" i="19"/>
  <c r="V28" i="19" s="1"/>
  <c r="L27" i="19"/>
  <c r="Q27" i="19" s="1"/>
  <c r="V27" i="19" s="1"/>
  <c r="L26" i="19"/>
  <c r="L24" i="19" s="1"/>
  <c r="L25" i="19"/>
  <c r="L21" i="19"/>
  <c r="Q21" i="19" s="1"/>
  <c r="V21" i="19" s="1"/>
  <c r="L20" i="19"/>
  <c r="L19" i="19"/>
  <c r="L16" i="19" s="1"/>
  <c r="L18" i="19"/>
  <c r="Q18" i="19" s="1"/>
  <c r="L17" i="19"/>
  <c r="Q17" i="19" s="1"/>
  <c r="V17" i="19" s="1"/>
  <c r="L43" i="19"/>
  <c r="O8" i="12"/>
  <c r="O10" i="12"/>
  <c r="O12" i="12"/>
  <c r="O13" i="12"/>
  <c r="O14" i="12"/>
  <c r="O16" i="12"/>
  <c r="O18" i="12"/>
  <c r="O19" i="12"/>
  <c r="O21" i="12"/>
  <c r="O22" i="12"/>
  <c r="O23" i="12"/>
  <c r="O24" i="12"/>
  <c r="O25" i="12"/>
  <c r="O26" i="12"/>
  <c r="G16" i="12"/>
  <c r="G27" i="12"/>
  <c r="G21" i="12"/>
  <c r="G22" i="12"/>
  <c r="G23" i="12"/>
  <c r="G24" i="12"/>
  <c r="G25" i="12"/>
  <c r="G26" i="12"/>
  <c r="G20" i="12"/>
  <c r="G14" i="12"/>
  <c r="G7" i="12"/>
  <c r="G8" i="12"/>
  <c r="G9" i="12"/>
  <c r="G10" i="12"/>
  <c r="G6" i="12"/>
  <c r="M16" i="12"/>
  <c r="M21" i="12"/>
  <c r="M22" i="12"/>
  <c r="M23" i="12"/>
  <c r="M24" i="12"/>
  <c r="M25" i="12"/>
  <c r="M26" i="12"/>
  <c r="M14" i="12"/>
  <c r="H17" i="12"/>
  <c r="J15" i="12"/>
  <c r="J16" i="12"/>
  <c r="N16" i="12" s="1"/>
  <c r="J21" i="12"/>
  <c r="J22" i="12"/>
  <c r="J23" i="12"/>
  <c r="J24" i="12"/>
  <c r="J25" i="12"/>
  <c r="J26" i="12"/>
  <c r="J27" i="12"/>
  <c r="J20" i="12"/>
  <c r="J14" i="12"/>
  <c r="N14" i="12" s="1"/>
  <c r="H11" i="12"/>
  <c r="I11" i="12"/>
  <c r="I29" i="12" s="1"/>
  <c r="J10" i="12"/>
  <c r="N10" i="12" s="1"/>
  <c r="M10" i="12"/>
  <c r="C28" i="12"/>
  <c r="E15" i="20"/>
  <c r="C11" i="12"/>
  <c r="N14" i="20"/>
  <c r="L14" i="20"/>
  <c r="L65" i="20"/>
  <c r="N65" i="20"/>
  <c r="P20" i="19"/>
  <c r="D20" i="29" s="1"/>
  <c r="L17" i="12"/>
  <c r="L117" i="19"/>
  <c r="L131" i="19" s="1"/>
  <c r="L29" i="19"/>
  <c r="M7" i="12"/>
  <c r="N24" i="20"/>
  <c r="L46" i="19"/>
  <c r="Q76" i="19"/>
  <c r="V76" i="19" s="1"/>
  <c r="N25" i="12"/>
  <c r="N24" i="12"/>
  <c r="N29" i="20"/>
  <c r="M20" i="12"/>
  <c r="O20" i="12"/>
  <c r="M9" i="12"/>
  <c r="N9" i="12" s="1"/>
  <c r="N8" i="12"/>
  <c r="K11" i="12"/>
  <c r="G12" i="20" s="1"/>
  <c r="M27" i="12"/>
  <c r="N27" i="12" s="1"/>
  <c r="D47" i="20"/>
  <c r="K39" i="20"/>
  <c r="M6" i="12"/>
  <c r="N6" i="12" s="1"/>
  <c r="N88" i="20"/>
  <c r="C14" i="10"/>
  <c r="E49" i="20"/>
  <c r="N77" i="19"/>
  <c r="P73" i="19"/>
  <c r="Q106" i="19"/>
  <c r="G103" i="19"/>
  <c r="L109" i="19"/>
  <c r="J17" i="12"/>
  <c r="H29" i="12"/>
  <c r="L28" i="12"/>
  <c r="O28" i="12" s="1"/>
  <c r="P53" i="19"/>
  <c r="Q72" i="19"/>
  <c r="V72" i="19" s="1"/>
  <c r="D45" i="20"/>
  <c r="D48" i="20"/>
  <c r="N21" i="12"/>
  <c r="Q100" i="19"/>
  <c r="Q101" i="19" s="1"/>
  <c r="L101" i="19"/>
  <c r="N7" i="12"/>
  <c r="G17" i="12"/>
  <c r="L77" i="19"/>
  <c r="P77" i="19"/>
  <c r="Q23" i="19"/>
  <c r="Q22" i="19" s="1"/>
  <c r="N154" i="19"/>
  <c r="P29" i="19"/>
  <c r="D46" i="20"/>
  <c r="N57" i="20"/>
  <c r="O57" i="20" s="1"/>
  <c r="G142" i="19"/>
  <c r="G158" i="19" s="1"/>
  <c r="Q54" i="19"/>
  <c r="Q75" i="19"/>
  <c r="V75" i="19" s="1"/>
  <c r="H39" i="20" l="1"/>
  <c r="H41" i="20" s="1"/>
  <c r="M39" i="20"/>
  <c r="M41" i="20" s="1"/>
  <c r="M79" i="20" s="1"/>
  <c r="M90" i="20" s="1"/>
  <c r="M98" i="20" s="1"/>
  <c r="I39" i="20"/>
  <c r="J77" i="20"/>
  <c r="K66" i="20"/>
  <c r="K77" i="20" s="1"/>
  <c r="N75" i="20"/>
  <c r="L24" i="20"/>
  <c r="L88" i="20"/>
  <c r="V100" i="19"/>
  <c r="V101" i="19" s="1"/>
  <c r="P19" i="19"/>
  <c r="Q19" i="19" s="1"/>
  <c r="V19" i="19" s="1"/>
  <c r="L55" i="19"/>
  <c r="L73" i="19"/>
  <c r="J97" i="19"/>
  <c r="L60" i="20"/>
  <c r="P65" i="19"/>
  <c r="D150" i="39"/>
  <c r="E150" i="39"/>
  <c r="Q77" i="19"/>
  <c r="M28" i="12"/>
  <c r="J79" i="20"/>
  <c r="J90" i="20" s="1"/>
  <c r="J98" i="20" s="1"/>
  <c r="O15" i="12"/>
  <c r="K15" i="12"/>
  <c r="F26" i="9"/>
  <c r="F12" i="39"/>
  <c r="F119" i="39"/>
  <c r="W42" i="43"/>
  <c r="AE42" i="43"/>
  <c r="AI26" i="43"/>
  <c r="S56" i="43"/>
  <c r="J35" i="44"/>
  <c r="O44" i="44"/>
  <c r="I9" i="10"/>
  <c r="I14" i="10" s="1"/>
  <c r="H14" i="7"/>
  <c r="H16" i="7" s="1"/>
  <c r="J27" i="6"/>
  <c r="J7" i="5"/>
  <c r="J16" i="5"/>
  <c r="H97" i="19"/>
  <c r="AC16" i="44"/>
  <c r="AC18" i="44"/>
  <c r="AE18" i="44" s="1"/>
  <c r="AC20" i="44"/>
  <c r="AE20" i="44" s="1"/>
  <c r="AC22" i="44"/>
  <c r="AE22" i="44" s="1"/>
  <c r="AC32" i="44"/>
  <c r="AE32" i="44" s="1"/>
  <c r="AD38" i="44"/>
  <c r="L85" i="19"/>
  <c r="O14" i="42" s="1"/>
  <c r="L81" i="19"/>
  <c r="O10" i="42" s="1"/>
  <c r="G11" i="12"/>
  <c r="L29" i="20"/>
  <c r="L30" i="20" s="1"/>
  <c r="C45" i="35"/>
  <c r="C49" i="35" s="1"/>
  <c r="K17" i="35"/>
  <c r="E26" i="9"/>
  <c r="D34" i="36"/>
  <c r="E51" i="20" s="1"/>
  <c r="F98" i="39"/>
  <c r="AJ10" i="43"/>
  <c r="AP10" i="43" s="1"/>
  <c r="W54" i="19"/>
  <c r="AI32" i="43"/>
  <c r="AO32" i="43" s="1"/>
  <c r="AI35" i="43"/>
  <c r="AI36" i="43"/>
  <c r="AO36" i="43" s="1"/>
  <c r="AE39" i="44"/>
  <c r="J9" i="7"/>
  <c r="J90" i="1"/>
  <c r="AD16" i="44"/>
  <c r="AF16" i="44" s="1"/>
  <c r="C46" i="42" s="1"/>
  <c r="AD20" i="44"/>
  <c r="AD22" i="44"/>
  <c r="R25" i="44"/>
  <c r="AD30" i="44"/>
  <c r="AF30" i="44" s="1"/>
  <c r="C56" i="42" s="1"/>
  <c r="L56" i="42" s="1"/>
  <c r="AD32" i="44"/>
  <c r="AF32" i="44" s="1"/>
  <c r="C58" i="42" s="1"/>
  <c r="L58" i="42" s="1"/>
  <c r="AD36" i="44"/>
  <c r="AF36" i="44" s="1"/>
  <c r="AC39" i="44"/>
  <c r="AA25" i="44"/>
  <c r="AA44" i="44" s="1"/>
  <c r="AA29" i="44"/>
  <c r="AA35" i="44"/>
  <c r="U44" i="44"/>
  <c r="P36" i="19"/>
  <c r="H66" i="20"/>
  <c r="H77" i="20" s="1"/>
  <c r="N89" i="19"/>
  <c r="N79" i="19"/>
  <c r="L88" i="19"/>
  <c r="Q88" i="19" s="1"/>
  <c r="L84" i="19"/>
  <c r="Q84" i="19" s="1"/>
  <c r="I89" i="19"/>
  <c r="L95" i="19"/>
  <c r="Q95" i="19" s="1"/>
  <c r="X95" i="19" s="1"/>
  <c r="N30" i="20"/>
  <c r="N20" i="12"/>
  <c r="N26" i="12"/>
  <c r="L49" i="19"/>
  <c r="G50" i="20"/>
  <c r="R50" i="20"/>
  <c r="N35" i="19"/>
  <c r="N34" i="19"/>
  <c r="W34" i="19"/>
  <c r="D45" i="35"/>
  <c r="H56" i="38"/>
  <c r="E49" i="39"/>
  <c r="C40" i="5"/>
  <c r="AG28" i="43"/>
  <c r="H12" i="35"/>
  <c r="I6" i="35"/>
  <c r="I12" i="35" s="1"/>
  <c r="V54" i="19"/>
  <c r="V53" i="19" s="1"/>
  <c r="X54" i="19"/>
  <c r="G29" i="12"/>
  <c r="P121" i="19" s="1"/>
  <c r="C29" i="12"/>
  <c r="C31" i="12" s="1"/>
  <c r="C26" i="9"/>
  <c r="D14" i="10"/>
  <c r="E50" i="20" s="1"/>
  <c r="F42" i="43"/>
  <c r="Q57" i="19"/>
  <c r="V57" i="19" s="1"/>
  <c r="Y56" i="43"/>
  <c r="AF20" i="44"/>
  <c r="C50" i="42" s="1"/>
  <c r="J36" i="6"/>
  <c r="J20" i="6"/>
  <c r="J28" i="1"/>
  <c r="J55" i="1"/>
  <c r="J60" i="1" s="1"/>
  <c r="F60" i="1"/>
  <c r="F121" i="1" s="1"/>
  <c r="J72" i="1"/>
  <c r="J81" i="1"/>
  <c r="F34" i="5"/>
  <c r="AF19" i="44"/>
  <c r="C49" i="42" s="1"/>
  <c r="J18" i="9"/>
  <c r="J32" i="35"/>
  <c r="L53" i="42"/>
  <c r="I151" i="19"/>
  <c r="P110" i="19"/>
  <c r="D69" i="29"/>
  <c r="P79" i="19"/>
  <c r="P89" i="19"/>
  <c r="D53" i="29"/>
  <c r="W85" i="19"/>
  <c r="L86" i="19"/>
  <c r="Q86" i="19" s="1"/>
  <c r="L93" i="19"/>
  <c r="Q93" i="19" s="1"/>
  <c r="L90" i="19"/>
  <c r="Q90" i="19" s="1"/>
  <c r="I79" i="19"/>
  <c r="Q83" i="19"/>
  <c r="X83" i="19" s="1"/>
  <c r="K92" i="19"/>
  <c r="L82" i="19"/>
  <c r="L23" i="42"/>
  <c r="L47" i="42"/>
  <c r="G60" i="42"/>
  <c r="E42" i="43"/>
  <c r="AI25" i="43"/>
  <c r="AO25" i="43" s="1"/>
  <c r="AH24" i="43"/>
  <c r="Q60" i="19"/>
  <c r="V60" i="19" s="1"/>
  <c r="Q62" i="19"/>
  <c r="V62" i="19" s="1"/>
  <c r="AJ22" i="43"/>
  <c r="AP22" i="43" s="1"/>
  <c r="Q58" i="19"/>
  <c r="V58" i="19" s="1"/>
  <c r="AI16" i="43"/>
  <c r="AO16" i="43" s="1"/>
  <c r="AJ19" i="43"/>
  <c r="AJ16" i="43"/>
  <c r="AI18" i="43"/>
  <c r="AO18" i="43" s="1"/>
  <c r="C17" i="42"/>
  <c r="AJ18" i="43"/>
  <c r="AP18" i="43" s="1"/>
  <c r="AJ14" i="43"/>
  <c r="C9" i="42" s="1"/>
  <c r="AP14" i="43"/>
  <c r="S13" i="43"/>
  <c r="AJ15" i="43"/>
  <c r="C13" i="42"/>
  <c r="AP11" i="43"/>
  <c r="L50" i="42"/>
  <c r="L49" i="42"/>
  <c r="L46" i="42"/>
  <c r="AE37" i="44"/>
  <c r="R14" i="44"/>
  <c r="F50" i="39"/>
  <c r="AO11" i="43"/>
  <c r="G55" i="1"/>
  <c r="G60" i="1" s="1"/>
  <c r="H60" i="1"/>
  <c r="H38" i="5"/>
  <c r="J27" i="5"/>
  <c r="J31" i="5"/>
  <c r="F10" i="5"/>
  <c r="F39" i="5" s="1"/>
  <c r="F19" i="5"/>
  <c r="J23" i="5"/>
  <c r="E39" i="5"/>
  <c r="G34" i="36"/>
  <c r="J17" i="36"/>
  <c r="C34" i="36"/>
  <c r="D50" i="20"/>
  <c r="C16" i="10"/>
  <c r="H9" i="10"/>
  <c r="H14" i="10" s="1"/>
  <c r="G26" i="9"/>
  <c r="G45" i="35"/>
  <c r="J6" i="9"/>
  <c r="I12" i="9"/>
  <c r="H26" i="9"/>
  <c r="J17" i="9"/>
  <c r="I21" i="9"/>
  <c r="K31" i="35"/>
  <c r="I37" i="35"/>
  <c r="I45" i="35" s="1"/>
  <c r="J31" i="35"/>
  <c r="J37" i="35" s="1"/>
  <c r="H37" i="35"/>
  <c r="H45" i="35" s="1"/>
  <c r="K37" i="35"/>
  <c r="K45" i="35" s="1"/>
  <c r="F45" i="35"/>
  <c r="D66" i="20"/>
  <c r="D77" i="20" s="1"/>
  <c r="K41" i="20"/>
  <c r="I66" i="20"/>
  <c r="I77" i="20" s="1"/>
  <c r="G56" i="20"/>
  <c r="N56" i="20"/>
  <c r="D39" i="20"/>
  <c r="D41" i="20" s="1"/>
  <c r="N39" i="20"/>
  <c r="H58" i="38"/>
  <c r="H67" i="38"/>
  <c r="J31" i="6"/>
  <c r="J12" i="6"/>
  <c r="G56" i="6"/>
  <c r="R48" i="20" s="1"/>
  <c r="H45" i="6"/>
  <c r="H56" i="6" s="1"/>
  <c r="C56" i="6"/>
  <c r="J19" i="6"/>
  <c r="K121" i="1"/>
  <c r="K123" i="1" s="1"/>
  <c r="H81" i="1"/>
  <c r="H72" i="1"/>
  <c r="G28" i="1"/>
  <c r="C121" i="1"/>
  <c r="M102" i="20" s="1"/>
  <c r="H28" i="1"/>
  <c r="I34" i="5"/>
  <c r="C39" i="5"/>
  <c r="H10" i="5"/>
  <c r="J6" i="5"/>
  <c r="H34" i="5"/>
  <c r="H19" i="5"/>
  <c r="G39" i="5"/>
  <c r="R45" i="20" s="1"/>
  <c r="I10" i="5"/>
  <c r="O17" i="12"/>
  <c r="G97" i="19"/>
  <c r="Q56" i="19"/>
  <c r="V56" i="19" s="1"/>
  <c r="L33" i="19"/>
  <c r="L40" i="19" s="1"/>
  <c r="G40" i="19"/>
  <c r="N155" i="19"/>
  <c r="Q155" i="19" s="1"/>
  <c r="Q121" i="19"/>
  <c r="Q117" i="19" s="1"/>
  <c r="Q131" i="19" s="1"/>
  <c r="P117" i="19"/>
  <c r="N148" i="19" s="1"/>
  <c r="L12" i="20"/>
  <c r="N12" i="20"/>
  <c r="M11" i="12"/>
  <c r="N25" i="19" s="1"/>
  <c r="N144" i="19"/>
  <c r="Q144" i="19" s="1"/>
  <c r="V144" i="19" s="1"/>
  <c r="L11" i="12"/>
  <c r="O11" i="12" s="1"/>
  <c r="P25" i="19"/>
  <c r="P24" i="19" s="1"/>
  <c r="N22" i="12"/>
  <c r="N28" i="12" s="1"/>
  <c r="I30" i="20"/>
  <c r="L121" i="1"/>
  <c r="H6" i="7"/>
  <c r="F11" i="7"/>
  <c r="F17" i="7" s="1"/>
  <c r="F34" i="36"/>
  <c r="H65" i="38"/>
  <c r="L51" i="42"/>
  <c r="I37" i="6"/>
  <c r="J18" i="5"/>
  <c r="I19" i="5"/>
  <c r="D19" i="29"/>
  <c r="D13" i="29" s="1"/>
  <c r="J28" i="12"/>
  <c r="AO26" i="43"/>
  <c r="AI24" i="43"/>
  <c r="AO24" i="43" s="1"/>
  <c r="J41" i="6"/>
  <c r="I45" i="6"/>
  <c r="J45" i="6" s="1"/>
  <c r="J48" i="6"/>
  <c r="J49" i="6" s="1"/>
  <c r="I49" i="6"/>
  <c r="J47" i="1"/>
  <c r="J121" i="1" s="1"/>
  <c r="AD35" i="44"/>
  <c r="AF38" i="44"/>
  <c r="AF35" i="44" s="1"/>
  <c r="N11" i="12"/>
  <c r="AO35" i="43"/>
  <c r="AI34" i="43"/>
  <c r="AO34" i="43" s="1"/>
  <c r="AP51" i="43"/>
  <c r="AJ50" i="43"/>
  <c r="AP50" i="43" s="1"/>
  <c r="L34" i="42"/>
  <c r="L35" i="42" s="1"/>
  <c r="K35" i="42"/>
  <c r="J10" i="36"/>
  <c r="I11" i="36"/>
  <c r="J21" i="36"/>
  <c r="I22" i="36"/>
  <c r="J24" i="9"/>
  <c r="J25" i="9" s="1"/>
  <c r="I25" i="9"/>
  <c r="P16" i="19"/>
  <c r="J11" i="12"/>
  <c r="E12" i="20"/>
  <c r="E16" i="20" s="1"/>
  <c r="E41" i="20" s="1"/>
  <c r="N23" i="12"/>
  <c r="V117" i="19"/>
  <c r="V131" i="19" s="1"/>
  <c r="K60" i="42"/>
  <c r="J12" i="9"/>
  <c r="J53" i="6"/>
  <c r="J55" i="6" s="1"/>
  <c r="I55" i="6"/>
  <c r="I121" i="1"/>
  <c r="H63" i="38"/>
  <c r="D32" i="39"/>
  <c r="D49" i="39"/>
  <c r="D9" i="29"/>
  <c r="I14" i="44"/>
  <c r="AF22" i="44"/>
  <c r="C52" i="42" s="1"/>
  <c r="L52" i="42" s="1"/>
  <c r="H7" i="7"/>
  <c r="I7" i="7" s="1"/>
  <c r="J6" i="6"/>
  <c r="J33" i="6"/>
  <c r="J25" i="6"/>
  <c r="J17" i="6"/>
  <c r="J13" i="6"/>
  <c r="J9" i="6"/>
  <c r="J32" i="6"/>
  <c r="J22" i="6"/>
  <c r="J9" i="5"/>
  <c r="AD15" i="44"/>
  <c r="AF15" i="44" s="1"/>
  <c r="C45" i="42" s="1"/>
  <c r="L45" i="42" s="1"/>
  <c r="H69" i="38"/>
  <c r="E10" i="39"/>
  <c r="D94" i="39"/>
  <c r="J42" i="43"/>
  <c r="G35" i="20" s="1"/>
  <c r="G33" i="20" s="1"/>
  <c r="G39" i="20" s="1"/>
  <c r="R42" i="43"/>
  <c r="D46" i="29" s="1"/>
  <c r="Z42" i="43"/>
  <c r="D48" i="29" s="1"/>
  <c r="AD42" i="43"/>
  <c r="D50" i="29" s="1"/>
  <c r="AI30" i="43"/>
  <c r="AO30" i="43" s="1"/>
  <c r="Q42" i="43"/>
  <c r="Y42" i="43"/>
  <c r="AC42" i="43"/>
  <c r="AG34" i="43"/>
  <c r="AC56" i="43"/>
  <c r="AG56" i="43"/>
  <c r="J42" i="35"/>
  <c r="J44" i="35" s="1"/>
  <c r="J10" i="9"/>
  <c r="J15" i="9"/>
  <c r="J19" i="9"/>
  <c r="J6" i="10"/>
  <c r="J9" i="10" s="1"/>
  <c r="J14" i="10" s="1"/>
  <c r="J6" i="36"/>
  <c r="J20" i="36"/>
  <c r="J34" i="6"/>
  <c r="J24" i="6"/>
  <c r="J14" i="6"/>
  <c r="J8" i="5"/>
  <c r="AB14" i="44"/>
  <c r="AD27" i="44"/>
  <c r="AD31" i="44"/>
  <c r="AD33" i="44"/>
  <c r="AF33" i="44" s="1"/>
  <c r="C59" i="42" s="1"/>
  <c r="L59" i="42" s="1"/>
  <c r="Y44" i="44"/>
  <c r="R29" i="44"/>
  <c r="E94" i="39"/>
  <c r="AI56" i="43"/>
  <c r="AH34" i="43"/>
  <c r="J35" i="6"/>
  <c r="J23" i="6"/>
  <c r="J15" i="6"/>
  <c r="J11" i="6"/>
  <c r="J7" i="6"/>
  <c r="J26" i="6"/>
  <c r="J16" i="6"/>
  <c r="O97" i="19"/>
  <c r="R35" i="44"/>
  <c r="E121" i="1"/>
  <c r="E34" i="36"/>
  <c r="F71" i="38"/>
  <c r="D10" i="39"/>
  <c r="E32" i="39"/>
  <c r="F60" i="39"/>
  <c r="K11" i="7"/>
  <c r="K17" i="7" s="1"/>
  <c r="W30" i="19" s="1"/>
  <c r="L54" i="42"/>
  <c r="H42" i="43"/>
  <c r="D42" i="29" s="1"/>
  <c r="L42" i="43"/>
  <c r="P42" i="43"/>
  <c r="D45" i="29" s="1"/>
  <c r="AI17" i="43"/>
  <c r="AO17" i="43" s="1"/>
  <c r="AI20" i="43"/>
  <c r="AO20" i="43" s="1"/>
  <c r="AI21" i="43"/>
  <c r="AO21" i="43" s="1"/>
  <c r="J29" i="44"/>
  <c r="J44" i="44" s="1"/>
  <c r="I35" i="44"/>
  <c r="J30" i="6"/>
  <c r="J18" i="6"/>
  <c r="J13" i="5"/>
  <c r="J28" i="5"/>
  <c r="AD18" i="44"/>
  <c r="AB35" i="44"/>
  <c r="N92" i="19"/>
  <c r="P92" i="19"/>
  <c r="L87" i="19"/>
  <c r="Q53" i="19"/>
  <c r="G160" i="19"/>
  <c r="G173" i="19" s="1"/>
  <c r="AJ52" i="43"/>
  <c r="AJ56" i="43"/>
  <c r="V44" i="19"/>
  <c r="V43" i="19" s="1"/>
  <c r="Q43" i="19"/>
  <c r="Q46" i="19"/>
  <c r="V47" i="19"/>
  <c r="V46" i="19" s="1"/>
  <c r="D60" i="29"/>
  <c r="P107" i="19"/>
  <c r="N117" i="19"/>
  <c r="P148" i="19" s="1"/>
  <c r="V18" i="19"/>
  <c r="AG13" i="43"/>
  <c r="P59" i="19"/>
  <c r="AH13" i="43"/>
  <c r="AJ17" i="43"/>
  <c r="M42" i="43"/>
  <c r="AJ35" i="43"/>
  <c r="T34" i="43"/>
  <c r="J30" i="36"/>
  <c r="J33" i="36" s="1"/>
  <c r="Q94" i="19"/>
  <c r="AF31" i="44"/>
  <c r="AD29" i="44"/>
  <c r="AB42" i="43"/>
  <c r="D49" i="29" s="1"/>
  <c r="AF42" i="43"/>
  <c r="D51" i="29" s="1"/>
  <c r="T28" i="43"/>
  <c r="AJ29" i="43"/>
  <c r="P71" i="19"/>
  <c r="AJ31" i="43"/>
  <c r="J17" i="5"/>
  <c r="J24" i="5"/>
  <c r="Q20" i="19"/>
  <c r="V20" i="19" s="1"/>
  <c r="D39" i="5"/>
  <c r="E45" i="20" s="1"/>
  <c r="N39" i="19"/>
  <c r="Q39" i="19" s="1"/>
  <c r="G63" i="38"/>
  <c r="G71" i="38" s="1"/>
  <c r="T13" i="43"/>
  <c r="Q63" i="19"/>
  <c r="V63" i="19" s="1"/>
  <c r="AJ21" i="43"/>
  <c r="AJ26" i="43"/>
  <c r="AI31" i="43"/>
  <c r="S28" i="43"/>
  <c r="AF18" i="44"/>
  <c r="AD14" i="44"/>
  <c r="C21" i="42"/>
  <c r="L21" i="42" s="1"/>
  <c r="AJ20" i="43"/>
  <c r="AI15" i="43"/>
  <c r="AI22" i="43"/>
  <c r="AO22" i="43" s="1"/>
  <c r="I29" i="44"/>
  <c r="I44" i="44" s="1"/>
  <c r="H10" i="7"/>
  <c r="J10" i="7"/>
  <c r="T24" i="43"/>
  <c r="T53" i="43"/>
  <c r="T56" i="43" s="1"/>
  <c r="I110" i="19"/>
  <c r="L110" i="19" s="1"/>
  <c r="AB25" i="44"/>
  <c r="AB29" i="44"/>
  <c r="AD42" i="44"/>
  <c r="V44" i="44"/>
  <c r="Z44" i="44"/>
  <c r="D65" i="29"/>
  <c r="Q11" i="44"/>
  <c r="AC12" i="44"/>
  <c r="Q25" i="44"/>
  <c r="AC26" i="44"/>
  <c r="Q29" i="44"/>
  <c r="AC30" i="44"/>
  <c r="Q35" i="44"/>
  <c r="AC36" i="44"/>
  <c r="AC42" i="44"/>
  <c r="Q41" i="44"/>
  <c r="D66" i="29"/>
  <c r="K108" i="19"/>
  <c r="J8" i="6"/>
  <c r="I108" i="19"/>
  <c r="T44" i="44"/>
  <c r="X44" i="44"/>
  <c r="L96" i="19"/>
  <c r="Q96" i="19" s="1"/>
  <c r="I92" i="19"/>
  <c r="I97" i="19" s="1"/>
  <c r="L91" i="19"/>
  <c r="K89" i="19"/>
  <c r="Q14" i="44"/>
  <c r="AD12" i="44"/>
  <c r="K79" i="20" l="1"/>
  <c r="K90" i="20" s="1"/>
  <c r="K98" i="20" s="1"/>
  <c r="I41" i="20"/>
  <c r="I79" i="20" s="1"/>
  <c r="I90" i="20" s="1"/>
  <c r="I98" i="20" s="1"/>
  <c r="H79" i="20"/>
  <c r="H90" i="20" s="1"/>
  <c r="H98" i="20" s="1"/>
  <c r="O56" i="20"/>
  <c r="P131" i="19"/>
  <c r="Q81" i="19"/>
  <c r="Q85" i="19"/>
  <c r="F10" i="39"/>
  <c r="D48" i="39"/>
  <c r="M103" i="20"/>
  <c r="M104" i="20" s="1"/>
  <c r="E48" i="39"/>
  <c r="F48" i="39" s="1"/>
  <c r="E46" i="39"/>
  <c r="E135" i="39"/>
  <c r="N33" i="19"/>
  <c r="P147" i="19" s="1"/>
  <c r="Q49" i="19"/>
  <c r="J11" i="36"/>
  <c r="L29" i="12"/>
  <c r="O29" i="12" s="1"/>
  <c r="G48" i="20"/>
  <c r="L48" i="20" s="1"/>
  <c r="F43" i="43"/>
  <c r="Q35" i="19"/>
  <c r="X35" i="19" s="1"/>
  <c r="Y35" i="19"/>
  <c r="I34" i="36"/>
  <c r="L123" i="1"/>
  <c r="W33" i="19"/>
  <c r="E48" i="20"/>
  <c r="C59" i="6"/>
  <c r="G51" i="20"/>
  <c r="R51" i="20"/>
  <c r="S50" i="20"/>
  <c r="AE16" i="44"/>
  <c r="AE14" i="44" s="1"/>
  <c r="AC14" i="44"/>
  <c r="D43" i="29"/>
  <c r="L43" i="43"/>
  <c r="J7" i="7"/>
  <c r="J6" i="7" s="1"/>
  <c r="J11" i="7" s="1"/>
  <c r="J17" i="7" s="1"/>
  <c r="I6" i="7"/>
  <c r="I11" i="7" s="1"/>
  <c r="I17" i="7" s="1"/>
  <c r="J29" i="12"/>
  <c r="D49" i="20"/>
  <c r="C29" i="9"/>
  <c r="N50" i="20"/>
  <c r="O50" i="20" s="1"/>
  <c r="L50" i="20"/>
  <c r="Y36" i="19"/>
  <c r="P33" i="19"/>
  <c r="N147" i="19" s="1"/>
  <c r="G49" i="20"/>
  <c r="L49" i="20" s="1"/>
  <c r="R49" i="20"/>
  <c r="D51" i="20"/>
  <c r="C36" i="36"/>
  <c r="Q34" i="19"/>
  <c r="Y34" i="19"/>
  <c r="Q36" i="19"/>
  <c r="X36" i="19" s="1"/>
  <c r="M15" i="12"/>
  <c r="K17" i="12"/>
  <c r="W81" i="19"/>
  <c r="X81" i="19" s="1"/>
  <c r="X85" i="19"/>
  <c r="O22" i="42"/>
  <c r="W87" i="19"/>
  <c r="O16" i="42"/>
  <c r="W84" i="19"/>
  <c r="X84" i="19" s="1"/>
  <c r="O13" i="42"/>
  <c r="O18" i="42"/>
  <c r="W88" i="19"/>
  <c r="X88" i="19" s="1"/>
  <c r="O17" i="42"/>
  <c r="Q82" i="19"/>
  <c r="O11" i="42"/>
  <c r="D41" i="29"/>
  <c r="S42" i="43"/>
  <c r="AP16" i="43"/>
  <c r="C11" i="42"/>
  <c r="C14" i="42"/>
  <c r="L14" i="42" s="1"/>
  <c r="AP19" i="43"/>
  <c r="AP15" i="43"/>
  <c r="C10" i="42"/>
  <c r="L10" i="42" s="1"/>
  <c r="R44" i="44"/>
  <c r="F94" i="39"/>
  <c r="D135" i="39"/>
  <c r="F135" i="39" s="1"/>
  <c r="D46" i="39"/>
  <c r="E47" i="20"/>
  <c r="C131" i="1"/>
  <c r="G121" i="1"/>
  <c r="J10" i="5"/>
  <c r="G45" i="20"/>
  <c r="N45" i="20" s="1"/>
  <c r="O45" i="20" s="1"/>
  <c r="C42" i="5"/>
  <c r="I26" i="9"/>
  <c r="D79" i="20"/>
  <c r="D90" i="20" s="1"/>
  <c r="D98" i="20" s="1"/>
  <c r="N30" i="19"/>
  <c r="N29" i="19" s="1"/>
  <c r="P154" i="19" s="1"/>
  <c r="Q154" i="19" s="1"/>
  <c r="F60" i="38"/>
  <c r="H60" i="38"/>
  <c r="G60" i="38"/>
  <c r="E74" i="29"/>
  <c r="H11" i="7"/>
  <c r="H17" i="7" s="1"/>
  <c r="H121" i="1"/>
  <c r="H39" i="5"/>
  <c r="J34" i="5"/>
  <c r="I39" i="5"/>
  <c r="G114" i="19"/>
  <c r="G161" i="19" s="1"/>
  <c r="N48" i="20"/>
  <c r="O48" i="20" s="1"/>
  <c r="N111" i="19"/>
  <c r="N109" i="19"/>
  <c r="AD25" i="44"/>
  <c r="AF27" i="44"/>
  <c r="J45" i="35"/>
  <c r="I56" i="6"/>
  <c r="AB44" i="44"/>
  <c r="G64" i="20" s="1"/>
  <c r="G60" i="20" s="1"/>
  <c r="J19" i="5"/>
  <c r="V16" i="19"/>
  <c r="F49" i="39"/>
  <c r="J22" i="36"/>
  <c r="J21" i="9"/>
  <c r="J26" i="9" s="1"/>
  <c r="H71" i="38"/>
  <c r="J34" i="36"/>
  <c r="AH42" i="43"/>
  <c r="J37" i="6"/>
  <c r="J56" i="6" s="1"/>
  <c r="AG42" i="43"/>
  <c r="Q25" i="19"/>
  <c r="V25" i="19" s="1"/>
  <c r="Q87" i="19"/>
  <c r="Q37" i="19"/>
  <c r="Q92" i="19"/>
  <c r="N146" i="19"/>
  <c r="K150" i="19"/>
  <c r="AD11" i="44"/>
  <c r="AF12" i="44"/>
  <c r="AF11" i="44" s="1"/>
  <c r="AP35" i="43"/>
  <c r="AJ34" i="43"/>
  <c r="W73" i="19" s="1"/>
  <c r="L108" i="19"/>
  <c r="I112" i="19"/>
  <c r="I114" i="19" s="1"/>
  <c r="I103" i="19"/>
  <c r="D67" i="29"/>
  <c r="AP20" i="43"/>
  <c r="C15" i="42"/>
  <c r="C19" i="42"/>
  <c r="L19" i="42" s="1"/>
  <c r="AP26" i="43"/>
  <c r="AJ24" i="43"/>
  <c r="L92" i="19"/>
  <c r="Q74" i="19"/>
  <c r="N73" i="19"/>
  <c r="Q59" i="19"/>
  <c r="P55" i="19"/>
  <c r="Q148" i="19"/>
  <c r="V148" i="19" s="1"/>
  <c r="N131" i="19"/>
  <c r="V49" i="19"/>
  <c r="AC35" i="44"/>
  <c r="AE36" i="44"/>
  <c r="AE35" i="44" s="1"/>
  <c r="AC25" i="44"/>
  <c r="AE26" i="44"/>
  <c r="AE25" i="44" s="1"/>
  <c r="AF42" i="44"/>
  <c r="AF41" i="44" s="1"/>
  <c r="AD41" i="44"/>
  <c r="AO31" i="43"/>
  <c r="AI28" i="43"/>
  <c r="C20" i="42"/>
  <c r="L20" i="42" s="1"/>
  <c r="AP29" i="43"/>
  <c r="AJ28" i="43"/>
  <c r="D56" i="29"/>
  <c r="D55" i="29" s="1"/>
  <c r="N107" i="19"/>
  <c r="AC29" i="44"/>
  <c r="AE30" i="44"/>
  <c r="AE29" i="44" s="1"/>
  <c r="C48" i="42"/>
  <c r="AF14" i="44"/>
  <c r="Q67" i="19"/>
  <c r="N65" i="19"/>
  <c r="N55" i="19"/>
  <c r="Q61" i="19"/>
  <c r="V61" i="19" s="1"/>
  <c r="AP31" i="43"/>
  <c r="C22" i="42"/>
  <c r="L22" i="42" s="1"/>
  <c r="N68" i="19"/>
  <c r="Q69" i="19"/>
  <c r="Q16" i="19"/>
  <c r="E137" i="39"/>
  <c r="D64" i="29"/>
  <c r="K151" i="19"/>
  <c r="L151" i="19" s="1"/>
  <c r="Q110" i="19"/>
  <c r="V110" i="19" s="1"/>
  <c r="V112" i="19" s="1"/>
  <c r="AO15" i="43"/>
  <c r="AI13" i="43"/>
  <c r="AO13" i="43" s="1"/>
  <c r="AC11" i="44"/>
  <c r="AC44" i="44" s="1"/>
  <c r="AE12" i="44"/>
  <c r="AE11" i="44" s="1"/>
  <c r="Q91" i="19"/>
  <c r="Q89" i="19" s="1"/>
  <c r="L89" i="19"/>
  <c r="K103" i="19"/>
  <c r="K112" i="19"/>
  <c r="AC41" i="44"/>
  <c r="AE42" i="44"/>
  <c r="AE41" i="44" s="1"/>
  <c r="Q44" i="44"/>
  <c r="AP21" i="43"/>
  <c r="C16" i="42"/>
  <c r="P68" i="19"/>
  <c r="Q71" i="19"/>
  <c r="V71" i="19" s="1"/>
  <c r="C57" i="42"/>
  <c r="L57" i="42" s="1"/>
  <c r="AF29" i="44"/>
  <c r="T42" i="43"/>
  <c r="AP17" i="43"/>
  <c r="C12" i="42"/>
  <c r="AJ13" i="43"/>
  <c r="N49" i="20" l="1"/>
  <c r="O49" i="20" s="1"/>
  <c r="E46" i="20"/>
  <c r="E66" i="20" s="1"/>
  <c r="E77" i="20" s="1"/>
  <c r="E79" i="20" s="1"/>
  <c r="E90" i="20" s="1"/>
  <c r="E98" i="20" s="1"/>
  <c r="S49" i="20"/>
  <c r="S48" i="20"/>
  <c r="F46" i="39"/>
  <c r="D137" i="39"/>
  <c r="D152" i="39" s="1"/>
  <c r="P40" i="19"/>
  <c r="G13" i="20"/>
  <c r="K29" i="12"/>
  <c r="R13" i="20" s="1"/>
  <c r="V34" i="19"/>
  <c r="V33" i="19" s="1"/>
  <c r="X34" i="19"/>
  <c r="M17" i="12"/>
  <c r="N15" i="12"/>
  <c r="N17" i="12" s="1"/>
  <c r="N29" i="12" s="1"/>
  <c r="N51" i="20"/>
  <c r="O51" i="20" s="1"/>
  <c r="S51" i="20"/>
  <c r="L45" i="20"/>
  <c r="S45" i="20"/>
  <c r="Q111" i="19"/>
  <c r="AP24" i="43"/>
  <c r="W65" i="19"/>
  <c r="AP13" i="43"/>
  <c r="W55" i="19"/>
  <c r="AP28" i="43"/>
  <c r="W68" i="19"/>
  <c r="Q147" i="19"/>
  <c r="V147" i="19" s="1"/>
  <c r="G47" i="20"/>
  <c r="N47" i="20" s="1"/>
  <c r="R47" i="20"/>
  <c r="L18" i="42"/>
  <c r="W90" i="19"/>
  <c r="X90" i="19" s="1"/>
  <c r="L16" i="42"/>
  <c r="L17" i="42"/>
  <c r="W86" i="19"/>
  <c r="X86" i="19" s="1"/>
  <c r="O15" i="42"/>
  <c r="L13" i="42"/>
  <c r="X87" i="19"/>
  <c r="Q33" i="19"/>
  <c r="X33" i="19" s="1"/>
  <c r="X37" i="19"/>
  <c r="Q30" i="19"/>
  <c r="Q29" i="19" s="1"/>
  <c r="J39" i="5"/>
  <c r="N64" i="20"/>
  <c r="N60" i="20" s="1"/>
  <c r="C55" i="42"/>
  <c r="L55" i="42" s="1"/>
  <c r="AF25" i="44"/>
  <c r="AE44" i="44"/>
  <c r="V59" i="19"/>
  <c r="V55" i="19" s="1"/>
  <c r="Q55" i="19"/>
  <c r="X55" i="19" s="1"/>
  <c r="Q108" i="19"/>
  <c r="L112" i="19"/>
  <c r="L103" i="19"/>
  <c r="AF44" i="44"/>
  <c r="V67" i="19"/>
  <c r="V65" i="19" s="1"/>
  <c r="Q65" i="19"/>
  <c r="P97" i="19"/>
  <c r="V69" i="19"/>
  <c r="V68" i="19" s="1"/>
  <c r="Q68" i="19"/>
  <c r="Q107" i="19"/>
  <c r="N103" i="19"/>
  <c r="N112" i="19" s="1"/>
  <c r="P151" i="19" s="1"/>
  <c r="N97" i="19"/>
  <c r="P150" i="19" s="1"/>
  <c r="AD44" i="44"/>
  <c r="P109" i="19" s="1"/>
  <c r="C24" i="42"/>
  <c r="L12" i="42"/>
  <c r="F137" i="39"/>
  <c r="E152" i="39"/>
  <c r="E156" i="39" s="1"/>
  <c r="L48" i="42"/>
  <c r="AI42" i="43"/>
  <c r="AO28" i="43"/>
  <c r="V74" i="19"/>
  <c r="V73" i="19" s="1"/>
  <c r="Q73" i="19"/>
  <c r="X73" i="19" s="1"/>
  <c r="AJ42" i="43"/>
  <c r="C25" i="42" s="1"/>
  <c r="AP34" i="43"/>
  <c r="K142" i="19"/>
  <c r="K158" i="19" s="1"/>
  <c r="K160" i="19" s="1"/>
  <c r="N46" i="20" l="1"/>
  <c r="O47" i="20"/>
  <c r="X68" i="19"/>
  <c r="C26" i="42"/>
  <c r="X65" i="19"/>
  <c r="M29" i="12"/>
  <c r="N26" i="19"/>
  <c r="S13" i="20"/>
  <c r="N13" i="20"/>
  <c r="G16" i="20"/>
  <c r="G41" i="20" s="1"/>
  <c r="L13" i="20"/>
  <c r="L16" i="20" s="1"/>
  <c r="L41" i="20" s="1"/>
  <c r="C60" i="42"/>
  <c r="V30" i="19"/>
  <c r="V29" i="19" s="1"/>
  <c r="X30" i="19"/>
  <c r="L47" i="20"/>
  <c r="L46" i="20" s="1"/>
  <c r="L66" i="20" s="1"/>
  <c r="L77" i="20" s="1"/>
  <c r="L79" i="20" s="1"/>
  <c r="L90" i="20" s="1"/>
  <c r="L98" i="20" s="1"/>
  <c r="S47" i="20"/>
  <c r="G46" i="20"/>
  <c r="G66" i="20" s="1"/>
  <c r="G77" i="20" s="1"/>
  <c r="L15" i="42"/>
  <c r="K24" i="42"/>
  <c r="X96" i="19" s="1"/>
  <c r="L60" i="42"/>
  <c r="F152" i="39"/>
  <c r="D11" i="29"/>
  <c r="P156" i="19"/>
  <c r="N150" i="19"/>
  <c r="Q109" i="19"/>
  <c r="Q112" i="19" s="1"/>
  <c r="P103" i="19"/>
  <c r="P112" i="19" s="1"/>
  <c r="N151" i="19" s="1"/>
  <c r="Q151" i="19" s="1"/>
  <c r="V151" i="19" s="1"/>
  <c r="N16" i="20" l="1"/>
  <c r="O13" i="20"/>
  <c r="N66" i="20"/>
  <c r="O46" i="20"/>
  <c r="G79" i="20"/>
  <c r="G90" i="20" s="1"/>
  <c r="G98" i="20" s="1"/>
  <c r="D10" i="29" s="1"/>
  <c r="N24" i="19"/>
  <c r="Q26" i="19"/>
  <c r="W82" i="19"/>
  <c r="L11" i="42"/>
  <c r="Q103" i="19"/>
  <c r="N142" i="19"/>
  <c r="N158" i="19" s="1"/>
  <c r="P143" i="19"/>
  <c r="Q156" i="19"/>
  <c r="P114" i="19"/>
  <c r="N41" i="20" l="1"/>
  <c r="O16" i="20"/>
  <c r="N77" i="20"/>
  <c r="O77" i="20" s="1"/>
  <c r="O66" i="20"/>
  <c r="V26" i="19"/>
  <c r="V24" i="19" s="1"/>
  <c r="V40" i="19" s="1"/>
  <c r="Q24" i="19"/>
  <c r="Q40" i="19" s="1"/>
  <c r="P146" i="19"/>
  <c r="Q146" i="19" s="1"/>
  <c r="V146" i="19" s="1"/>
  <c r="N40" i="19"/>
  <c r="N114" i="19" s="1"/>
  <c r="N160" i="19" s="1"/>
  <c r="X82" i="19"/>
  <c r="Q143" i="19"/>
  <c r="P142" i="19"/>
  <c r="P158" i="19" s="1"/>
  <c r="P160" i="19" s="1"/>
  <c r="N79" i="20" l="1"/>
  <c r="O41" i="20"/>
  <c r="V143" i="19"/>
  <c r="V142" i="19" s="1"/>
  <c r="V158" i="19" s="1"/>
  <c r="V160" i="19" s="1"/>
  <c r="K80" i="19"/>
  <c r="K79" i="19" s="1"/>
  <c r="K97" i="19" s="1"/>
  <c r="F24" i="42"/>
  <c r="D54" i="29" s="1"/>
  <c r="D52" i="29" s="1"/>
  <c r="D12" i="29" s="1"/>
  <c r="D73" i="29" s="1"/>
  <c r="N90" i="20" l="1"/>
  <c r="O79" i="20"/>
  <c r="L80" i="19"/>
  <c r="L79" i="19" s="1"/>
  <c r="L97" i="19" s="1"/>
  <c r="L114" i="19" s="1"/>
  <c r="K114" i="19"/>
  <c r="I150" i="19"/>
  <c r="Q80" i="19"/>
  <c r="N98" i="20" l="1"/>
  <c r="O98" i="20" s="1"/>
  <c r="O90" i="20"/>
  <c r="O9" i="42"/>
  <c r="D24" i="42"/>
  <c r="L150" i="19"/>
  <c r="I142" i="19"/>
  <c r="I158" i="19" s="1"/>
  <c r="I160" i="19" s="1"/>
  <c r="Q79" i="19"/>
  <c r="Q97" i="19" s="1"/>
  <c r="Q114" i="19" s="1"/>
  <c r="V80" i="19"/>
  <c r="V79" i="19" s="1"/>
  <c r="V97" i="19" s="1"/>
  <c r="V114" i="19" s="1"/>
  <c r="V161" i="19" s="1"/>
  <c r="M26" i="42" l="1"/>
  <c r="D25" i="42"/>
  <c r="Q150" i="19"/>
  <c r="L142" i="19"/>
  <c r="L158" i="19" s="1"/>
  <c r="L160" i="19" s="1"/>
  <c r="L161" i="19" s="1"/>
  <c r="G24" i="42"/>
  <c r="N26" i="42" s="1"/>
  <c r="W80" i="19" l="1"/>
  <c r="M17" i="42"/>
  <c r="L9" i="42"/>
  <c r="L24" i="42" s="1"/>
  <c r="X97" i="19" s="1"/>
  <c r="V150" i="19"/>
  <c r="Q142" i="19"/>
  <c r="Q158" i="19" s="1"/>
  <c r="Q160" i="19" s="1"/>
  <c r="X80" i="19" l="1"/>
  <c r="W96" i="19"/>
  <c r="Q161" i="19"/>
  <c r="D74" i="29"/>
  <c r="W97" i="19" l="1"/>
  <c r="Y96" i="19"/>
</calcChain>
</file>

<file path=xl/sharedStrings.xml><?xml version="1.0" encoding="utf-8"?>
<sst xmlns="http://schemas.openxmlformats.org/spreadsheetml/2006/main" count="1809" uniqueCount="1156">
  <si>
    <t>Belanja Peralatan Kesehatan/Laboratorium/Radiology</t>
  </si>
  <si>
    <t>Belanja Pantry</t>
  </si>
  <si>
    <t>Belanja Bahan dan Alat Sanitasi</t>
  </si>
  <si>
    <t>Belanja Pakan</t>
  </si>
  <si>
    <t>Belanja Laundry</t>
  </si>
  <si>
    <t>Belanja Dekorasi/Dokumentasi</t>
  </si>
  <si>
    <t>Belanja Peralatan Pendukung Kendaraan Di atas Air</t>
  </si>
  <si>
    <t>Belanja Alat/Perlengkapan Pertukangan</t>
  </si>
  <si>
    <t>Belanja Perlengkapan Jalan</t>
  </si>
  <si>
    <t>BELANJA PAKAI HABIS</t>
  </si>
  <si>
    <t>BELANJA BAHAN/MATERIAL</t>
  </si>
  <si>
    <t>Belanja Bahan Laboratorium</t>
  </si>
  <si>
    <t>Belanja Bahan Bercorak Kesenian dan Kebudayaan</t>
  </si>
  <si>
    <t>Belanja Benih/Induk Ikan</t>
  </si>
  <si>
    <t>BELANJA CETAK</t>
  </si>
  <si>
    <t>Belanja Pakaian Sipil Harian (PSH)</t>
  </si>
  <si>
    <t>Belanja Pakaian Sipil Lengkap (PSL)</t>
  </si>
  <si>
    <t>Belanja Pakaian Dinas Harian (PDH)</t>
  </si>
  <si>
    <t>Belanja Pakaian Dinas Upacara (PDU)</t>
  </si>
  <si>
    <t>BELANJA PAKAIAN KERJA</t>
  </si>
  <si>
    <t>BELANJA PAKAIAN KHUSUS DAN HARI-HARI TERTENTU</t>
  </si>
  <si>
    <t>Belanja Premi Asuransi Barang Milik Daerah</t>
  </si>
  <si>
    <t>NO</t>
  </si>
  <si>
    <t>URAIAN</t>
  </si>
  <si>
    <t>ANGGARAN</t>
  </si>
  <si>
    <t>REALISASI</t>
  </si>
  <si>
    <t>SISA PERSEDIAAN SESUAI STOCK OPNAME AKHIR TAHUN</t>
  </si>
  <si>
    <t>PERHITUNGAN BEBAN PERSEDIAAN</t>
  </si>
  <si>
    <t>GRAND TOTAL</t>
  </si>
  <si>
    <t>TOTAL</t>
  </si>
  <si>
    <t>BELANJA PAKAIAN DINAS DAN ATRIBUTNYA</t>
  </si>
  <si>
    <t>PERHITUNGAN BEBAN PEGAWAI</t>
  </si>
  <si>
    <t>HONORARIUM PNS</t>
  </si>
  <si>
    <t>Honorarium Panitia Pelaksana Kegiatan</t>
  </si>
  <si>
    <t>Honorarium Pengelola Keuangan SKPD</t>
  </si>
  <si>
    <t>Upah Piket</t>
  </si>
  <si>
    <t>Honorarium Visite Dokter</t>
  </si>
  <si>
    <t>Honorarium Pelaksana Kegiatan</t>
  </si>
  <si>
    <t>Upah Tenaga Kerja</t>
  </si>
  <si>
    <t>Uang Piket</t>
  </si>
  <si>
    <t>Uang Harian Peserta Kegiatan</t>
  </si>
  <si>
    <t>Uang Transport</t>
  </si>
  <si>
    <t>Belanja Pegawai BLUD Rumah Sakit</t>
  </si>
  <si>
    <t>HONORARIUM NON PNS</t>
  </si>
  <si>
    <t>BELANJA PEGAWAI BLUD</t>
  </si>
  <si>
    <t>BELANJA PEGAWAI (TLS)</t>
  </si>
  <si>
    <t>Gaji dan Tunjangan</t>
  </si>
  <si>
    <t>Tambahan Penghasilan PNS</t>
  </si>
  <si>
    <t>Belanja Penerimaan Lainnya Pimpinan dan Anggota DPRD/KDH</t>
  </si>
  <si>
    <t>Insentif Pemungutan Pajak</t>
  </si>
  <si>
    <t>Belanja Sertifikasi</t>
  </si>
  <si>
    <t>Belanja Jasa Transaksi Keuangan</t>
  </si>
  <si>
    <t>Belanja Hadiah Barang</t>
  </si>
  <si>
    <t>Belanja Jasa Tol/Parkir</t>
  </si>
  <si>
    <t>Belanja Iuran/PBB/Pasport/Fiskal</t>
  </si>
  <si>
    <t>Belanja Pemakaman/Pemulangan/Pengiriman Pasien, Orang Terlantar, Penyandang Masalah Sosial</t>
  </si>
  <si>
    <t>Belanja Jasa Perawatan/Pengobatan</t>
  </si>
  <si>
    <t>Belanja Jasa Publikasi</t>
  </si>
  <si>
    <t>Belanja Jasa Pelayanan Film Badge</t>
  </si>
  <si>
    <t>Belanja Jasa Pengajar/Instruktur/Narasumber/Tenaga Ahli</t>
  </si>
  <si>
    <t>Belanja Jasa Pengawalan</t>
  </si>
  <si>
    <t>Belanja Jasa Keamanan</t>
  </si>
  <si>
    <t>Belanja Jasa Retribusi/Tiket Masuk</t>
  </si>
  <si>
    <t>PERHITUNGAN BEBAN JASA</t>
  </si>
  <si>
    <t>BELANJA JASA KANTOR</t>
  </si>
  <si>
    <t>PERHITUNGAN BEBAN PREMI ASURANSI</t>
  </si>
  <si>
    <t>Belanja Penggandaan</t>
  </si>
  <si>
    <t>PERHITUNGAN BEBAN SEWA</t>
  </si>
  <si>
    <t>BELANJA SEWA RUMAH/GEDUNG</t>
  </si>
  <si>
    <t>Belanja sewa Sarana Mobilitas Darat</t>
  </si>
  <si>
    <t>Belanja sewa Sarana Mobilitas Air</t>
  </si>
  <si>
    <t>BELANJA SEWA SARANA MOBILITAS</t>
  </si>
  <si>
    <t>Belanja Sewa Partisi</t>
  </si>
  <si>
    <t>Belanja Sewa Peralatan Elektronik</t>
  </si>
  <si>
    <t>Belanja Sewa Tanaman</t>
  </si>
  <si>
    <t>Belanja Sewa Peralatan Praktek</t>
  </si>
  <si>
    <t>Belanja Sewa PO Box</t>
  </si>
  <si>
    <t>Belanja Sewa Alat-alat Kesenian</t>
  </si>
  <si>
    <t>BELANJA SEWA ALAT BERAT</t>
  </si>
  <si>
    <t>BELANJA SEWA PERLENGKAPAN DAN PERALATAN KANTOR</t>
  </si>
  <si>
    <t>BELANJA MAKANAN DAN MINUMAN</t>
  </si>
  <si>
    <t>Belanja Jasa Konsultansi Penelitian</t>
  </si>
  <si>
    <t>Belanja Jasa Konsultansi Perencanaan</t>
  </si>
  <si>
    <t>Belanja Jasa Konsultansi Non Kostruksi</t>
  </si>
  <si>
    <t>BELANJA KONSULTANSI</t>
  </si>
  <si>
    <t>Belanja Jasa Service</t>
  </si>
  <si>
    <t>Belanja Penggantian Suku Cadang</t>
  </si>
  <si>
    <t>Belanja Bahan Bakar Minyak dan pelumas</t>
  </si>
  <si>
    <t>Belanja Jasa KIR</t>
  </si>
  <si>
    <t>Belanja Surat Tanda Nomor Kendaraan</t>
  </si>
  <si>
    <t>BELANJA PERAWATAN KENDARAAN BERMOTOR</t>
  </si>
  <si>
    <t>BELANJA PEMELIHARAAN</t>
  </si>
  <si>
    <t>Belanja Pemeliharaan Jalan</t>
  </si>
  <si>
    <t>Belanja Pemeliharaan Jembatan</t>
  </si>
  <si>
    <t>PERHITUNGAN BEBAN PEMELIHARAAN</t>
  </si>
  <si>
    <t>PERHITUNGAN BEBAN PERJALANAN DINAS</t>
  </si>
  <si>
    <t>Belanja perjalanan dinas dalam daerah</t>
  </si>
  <si>
    <t>Belanja perjalanan dinas luar daerah</t>
  </si>
  <si>
    <t>Belanja Perjalanan dinas Luar Negeri</t>
  </si>
  <si>
    <t>BELANJA PERJALANAN DINAS</t>
  </si>
  <si>
    <t>PERHITUNGAN BEBAN LAIN-LAIN</t>
  </si>
  <si>
    <t>Belanja beasiswa tugas belajar S2</t>
  </si>
  <si>
    <t>Belanja beasiswa tugas belajar S3</t>
  </si>
  <si>
    <t>Belanja Sosialisasi</t>
  </si>
  <si>
    <t>BELANJA KURSUS, PELATIHAN, SOSIALISASI DAN BIMTEK PNS</t>
  </si>
  <si>
    <t>BELANJA BEASISWA PENDIDIKAN PNS</t>
  </si>
  <si>
    <t>BELANJA BARANG DAN JASA BLUD</t>
  </si>
  <si>
    <t>BELANJA UANG YANG DIBERIKAN KEPADA PIHAK KETIGA/MASY</t>
  </si>
  <si>
    <t>PAJAK DAERAH</t>
  </si>
  <si>
    <t>Pajak Kendaraan Bermotor</t>
  </si>
  <si>
    <t>Pajak Bea Balik Nama Kendaraan Bermotor</t>
  </si>
  <si>
    <t>Pajak Bahan Bakar Kendaraan Bermotor</t>
  </si>
  <si>
    <t>Pajak Air Permukaan</t>
  </si>
  <si>
    <t>Pajak Rokok</t>
  </si>
  <si>
    <t>Retribusi Daerah</t>
  </si>
  <si>
    <t>Retribusi Jasa Umum</t>
  </si>
  <si>
    <t>Retribusi Jasa Usaha</t>
  </si>
  <si>
    <t>Retribusi Perizinan Tertentu</t>
  </si>
  <si>
    <t>Lain-Lain Pendapatan Asli Daerah Yang Sah</t>
  </si>
  <si>
    <t>Hasil Penjualan Aset Daerah Yang Tidak Dipisahkan</t>
  </si>
  <si>
    <t>Pendapatan Denda Pajak</t>
  </si>
  <si>
    <t>Pendapatan Denda Retribusi</t>
  </si>
  <si>
    <t>Pendapatan dari Pengembalian</t>
  </si>
  <si>
    <t>Pendapatan Fasilitas Sosial dan Fasilitas Umum</t>
  </si>
  <si>
    <t>Pendapatan dari Penyelenggaraan Pendidikan dan Latihan</t>
  </si>
  <si>
    <t>Pendapatan dari BLUD</t>
  </si>
  <si>
    <t>PERHITUNGAN PENDAPATAN LO</t>
  </si>
  <si>
    <t>PEMERINTAH PROVINSI JAWA TENGAH</t>
  </si>
  <si>
    <t>Uraian</t>
  </si>
  <si>
    <t>%</t>
  </si>
  <si>
    <t>PENDAPATAN</t>
  </si>
  <si>
    <t>PENDAPATAN ASLI DAERAH</t>
  </si>
  <si>
    <t>BEBAN</t>
  </si>
  <si>
    <t>Beban Pegawai</t>
  </si>
  <si>
    <t>Beban Lain-Lain</t>
  </si>
  <si>
    <t xml:space="preserve">Pendapatan Pajak </t>
  </si>
  <si>
    <t>Pendapatan Retribusi Daerah</t>
  </si>
  <si>
    <t xml:space="preserve">Kenaikan/(Penurunan) </t>
  </si>
  <si>
    <t>6 = 4-5</t>
  </si>
  <si>
    <t>7 = 4-6</t>
  </si>
  <si>
    <t>BELANJA DIBAYAR DIMUKA</t>
  </si>
  <si>
    <t>Beban Persediaan</t>
  </si>
  <si>
    <t>Beban Jasa</t>
  </si>
  <si>
    <t>Beban Pemeliharaan</t>
  </si>
  <si>
    <t>Beban Perjalanan Dinas</t>
  </si>
  <si>
    <t>Beban Penyisihan Piutang</t>
  </si>
  <si>
    <t>PENDAPATAN TRANSFER</t>
  </si>
  <si>
    <t>TRANSFER PEMERINTAH PUSAT- DANA PERIMBANGAN</t>
  </si>
  <si>
    <t>Dana Bagi Hasil Pajak</t>
  </si>
  <si>
    <t>Dana Bagi Hasil Sumber Daya Alam</t>
  </si>
  <si>
    <t>Dana Alokasi Umum</t>
  </si>
  <si>
    <t>Dana Alokasi Khusus</t>
  </si>
  <si>
    <t>Jumlah Transfer Pemerintah Pusat Dana Perimbangan (10 s.d 13)</t>
  </si>
  <si>
    <t>TRANSFER PEMERINTAH PUSAT -LAINNYA</t>
  </si>
  <si>
    <t>Dana Penyesuaian &amp; Otonomi Khusus</t>
  </si>
  <si>
    <t>Dana Insentif Daerah</t>
  </si>
  <si>
    <t>LAIN-LAIN PENDAPATAN YANG SAH</t>
  </si>
  <si>
    <t>Dana Bagi Hasil dr Pemda Lainnya</t>
  </si>
  <si>
    <t>Surplus Penjualan Aset Non Lancar</t>
  </si>
  <si>
    <t>Surplus Penyelesaian Kewajiban Jangka Panjang</t>
  </si>
  <si>
    <t>Defisit Penjualan Aset Non Lancar</t>
  </si>
  <si>
    <t>SURPLUS/DEFISIT DARI KEGIATAN NON OPERASIONAL</t>
  </si>
  <si>
    <t>POS LUAR BIASA</t>
  </si>
  <si>
    <t>Pendapatan Luar Biasa</t>
  </si>
  <si>
    <t>Beban Luar Biasa</t>
  </si>
  <si>
    <t>6 = (4-5)</t>
  </si>
  <si>
    <t>PIUTANG AWAL</t>
  </si>
  <si>
    <t>BELANJA PREMI ASURANSI</t>
  </si>
  <si>
    <t>Belanja ATK</t>
  </si>
  <si>
    <t>Belanja Bahan/Material</t>
  </si>
  <si>
    <t>Belanja Cetak</t>
  </si>
  <si>
    <t>Belanja Pakaian Dinas dan Atributnya</t>
  </si>
  <si>
    <t>Belanja Pakaian Kerja</t>
  </si>
  <si>
    <t>Belanja Pakaian Khusus</t>
  </si>
  <si>
    <t>Belanja Makanan dan Minuman</t>
  </si>
  <si>
    <t>Belanja Hibah</t>
  </si>
  <si>
    <t>Belanja Jasa kantor</t>
  </si>
  <si>
    <t>Belanja Konsultasi</t>
  </si>
  <si>
    <t>Belanja Perawatan</t>
  </si>
  <si>
    <t>Belanja Pemeliharaan</t>
  </si>
  <si>
    <t>Belanja Perjalanan Dinas</t>
  </si>
  <si>
    <t>Belanja Sewa Rumah Dinas/Gedung</t>
  </si>
  <si>
    <t>Belanja Sewa Sarana Mobilitas</t>
  </si>
  <si>
    <t>Belanja Sewa Alat Berat</t>
  </si>
  <si>
    <t>Belanja Sewa perlengkapan dan Peralatan Kantor</t>
  </si>
  <si>
    <t>NERACA</t>
  </si>
  <si>
    <t>(Dalam Rupiah)</t>
  </si>
  <si>
    <t>KOREKSI</t>
  </si>
  <si>
    <t>MUTASI</t>
  </si>
  <si>
    <t>PER 31 DES 2014</t>
  </si>
  <si>
    <t>KOREKSI PEMERIKSAAN</t>
  </si>
  <si>
    <t>AUDITED</t>
  </si>
  <si>
    <t>DEBET</t>
  </si>
  <si>
    <t>KREDIT</t>
  </si>
  <si>
    <t>STLAH KOREKSI</t>
  </si>
  <si>
    <t>ANAUDITED</t>
  </si>
  <si>
    <t xml:space="preserve">ASET </t>
  </si>
  <si>
    <t>ASET LANCAR</t>
  </si>
  <si>
    <t>Kas</t>
  </si>
  <si>
    <t>Kas di Kas Daerah</t>
  </si>
  <si>
    <t>Kas di Bendahara Pengeluaran</t>
  </si>
  <si>
    <t>Kas di Bendahara Penerimaan</t>
  </si>
  <si>
    <t>Kas di Bendahara BLUD</t>
  </si>
  <si>
    <t>Piutang</t>
  </si>
  <si>
    <t>Piutang Pajak</t>
  </si>
  <si>
    <t>Piutang Retribusi</t>
  </si>
  <si>
    <t>Piutang Lainnya</t>
  </si>
  <si>
    <t>Belanja Dibayar Dimuka</t>
  </si>
  <si>
    <t>Persediaan</t>
  </si>
  <si>
    <t>INVESTASI JANGKA PANJANG</t>
  </si>
  <si>
    <t>Investasi Nonpermanen</t>
  </si>
  <si>
    <t>Investasi Nonpermanen Lainnya</t>
  </si>
  <si>
    <t>Investasi Permanen</t>
  </si>
  <si>
    <t>Penyertaaan Modal Pemerintah Daerah</t>
  </si>
  <si>
    <t>ASET TETAP</t>
  </si>
  <si>
    <t>Tanah</t>
  </si>
  <si>
    <t>Peralatan dan Mesin</t>
  </si>
  <si>
    <t>Alat Berat</t>
  </si>
  <si>
    <t>Alat Angkutan</t>
  </si>
  <si>
    <t>Alat Bengkel</t>
  </si>
  <si>
    <t>Alat Pertanian dan Peternakan</t>
  </si>
  <si>
    <t>Alat Kantor dan Rumah Tangga</t>
  </si>
  <si>
    <t>Alat Studio dan Alat Komunikasi</t>
  </si>
  <si>
    <t>Alat Kedokteran</t>
  </si>
  <si>
    <t>Alat Laboratorium</t>
  </si>
  <si>
    <t>Alat Keamanan</t>
  </si>
  <si>
    <t>Alat Olah Raga</t>
  </si>
  <si>
    <t>Gedung dan Bangunan</t>
  </si>
  <si>
    <t>Bangunan Gedung</t>
  </si>
  <si>
    <t>Bangunan Monumen</t>
  </si>
  <si>
    <t>Jalan, Irigasi, dan Jaringan</t>
  </si>
  <si>
    <t>Jalan dan Jembatan</t>
  </si>
  <si>
    <t>Bangunan Air (Irigasi)</t>
  </si>
  <si>
    <t xml:space="preserve">Instalasi </t>
  </si>
  <si>
    <t>Jaringan</t>
  </si>
  <si>
    <t>Aset Tetap Lainnya</t>
  </si>
  <si>
    <t>Buku dan Perpustakaan</t>
  </si>
  <si>
    <t>Barang Bercorak Kesenian/Kebudayaan</t>
  </si>
  <si>
    <t>Hewan/Ternak dan Tumbuhan</t>
  </si>
  <si>
    <t>Konstruksi dalam Pengerjaan</t>
  </si>
  <si>
    <t>Akumulasi Penyusutan</t>
  </si>
  <si>
    <t>DANA CADANGAN</t>
  </si>
  <si>
    <t>Dana Cadangan</t>
  </si>
  <si>
    <t>ASET LAINNYA</t>
  </si>
  <si>
    <t>Kemitraan dengan Pihak Ketiga</t>
  </si>
  <si>
    <t>KEWAJIBAN</t>
  </si>
  <si>
    <t>KEWAJIBAN JANGKA PENDEK</t>
  </si>
  <si>
    <t>Utang Jangka Pendek Lainnya</t>
  </si>
  <si>
    <t>KEWAJIBAN JANGKA PANJANG</t>
  </si>
  <si>
    <t>Utang Jangka Panjang Lainnya</t>
  </si>
  <si>
    <t xml:space="preserve"> Jumlah Kewajiban Jangka Panjang </t>
  </si>
  <si>
    <t>Pendapatan yang Ditangguhkan</t>
  </si>
  <si>
    <t>Kas di Bendahara BLUD-hutang pihak ketiga (non SiLPA)</t>
  </si>
  <si>
    <t>Cadangan Piutang</t>
  </si>
  <si>
    <t>Cadangan Persediaan</t>
  </si>
  <si>
    <t>Dana yang Harus Disediakan untuk Pembayaran Utang Jangka Pendek</t>
  </si>
  <si>
    <t>Diinvestasikan Dalam Investasi Jangka Panjang</t>
  </si>
  <si>
    <t>Diinvestasikan dalam Aset Tetap</t>
  </si>
  <si>
    <t>Diinvestasikan dalam Aset Lainnya</t>
  </si>
  <si>
    <t>Dana yang Harus Disediakan untuk Pembayaran Utang Jangka Panjang</t>
  </si>
  <si>
    <t>Diinvestasikan dalam Dana Cadangan</t>
  </si>
  <si>
    <t>SEMARANG,        NOVEMBER 2012</t>
  </si>
  <si>
    <t xml:space="preserve">MENGETAHUI, </t>
  </si>
  <si>
    <t>FEBRUARI 2013</t>
  </si>
  <si>
    <t>Petugas TIM :</t>
  </si>
  <si>
    <t>MENGETAHUI,</t>
  </si>
  <si>
    <t>1.</t>
  </si>
  <si>
    <t>1. ………………….</t>
  </si>
  <si>
    <t>2.</t>
  </si>
  <si>
    <t>2. ………………….</t>
  </si>
  <si>
    <t>NIP.</t>
  </si>
  <si>
    <t>3.</t>
  </si>
  <si>
    <t>3. ………………….</t>
  </si>
  <si>
    <t>4.</t>
  </si>
  <si>
    <t>4. ………………….</t>
  </si>
  <si>
    <t>NILAI DIBAYAR DIMUKA YANG MENJADI PENDAPATAN SAMPAI 31 DESEMBER</t>
  </si>
  <si>
    <t>No</t>
  </si>
  <si>
    <t>Investasi Jangka Pendek</t>
  </si>
  <si>
    <t>Penyisihan Piutang</t>
  </si>
  <si>
    <t>Investasi Nonpermanen Lainnya-Penyisihan Piutang</t>
  </si>
  <si>
    <t>Investasi Permanen Lainnya</t>
  </si>
  <si>
    <t>Tagihan Penjualan Angsuran</t>
  </si>
  <si>
    <t>Tuntutan Ganti Rugi</t>
  </si>
  <si>
    <t>Aset Tak Berwujud</t>
  </si>
  <si>
    <t>Utang Perhitungan Pihak Ketiga (PFK)</t>
  </si>
  <si>
    <t>Utang Bunga</t>
  </si>
  <si>
    <t>Bagian Lancar Utang Jangka Panjang</t>
  </si>
  <si>
    <t>Pendapatan Diabayr Dimuka</t>
  </si>
  <si>
    <t>Utang Dalam Negeri Sektor Perbankan</t>
  </si>
  <si>
    <t>Utang Dalam Negeri Obligasi</t>
  </si>
  <si>
    <t>Premium (Diskonto) Obligasi</t>
  </si>
  <si>
    <t>Ekuitas Beban Dibayar Dimuka</t>
  </si>
  <si>
    <t>Ekuitas Pendapatan Dibayar Dimuka</t>
  </si>
  <si>
    <t>EKUITAS</t>
  </si>
  <si>
    <t>FEBRIAN CAHYO P, SE</t>
  </si>
  <si>
    <t>DIEN PAMELASIH, SH</t>
  </si>
  <si>
    <t>NOVIANTI MR, Amd</t>
  </si>
  <si>
    <t>SETYO DARSONO</t>
  </si>
  <si>
    <t>REF</t>
  </si>
  <si>
    <t>2014 AUDITED</t>
  </si>
  <si>
    <t>BEBAN OPERASIONAL</t>
  </si>
  <si>
    <t xml:space="preserve">Beban Diragukan Tertagih Investasi Non Permanen </t>
  </si>
  <si>
    <t>BEBAN TRANSFER</t>
  </si>
  <si>
    <t>Beban Transfer Bagi Hasil Pajak</t>
  </si>
  <si>
    <t>Beban Transfer Bagi Hasil Bukan Pajak</t>
  </si>
  <si>
    <t>Beban Transfer Bantuan Keuangan Kepada Kabupaten/Kota</t>
  </si>
  <si>
    <t>Beban Transfer Bantuan Keuangan Kepada Desa</t>
  </si>
  <si>
    <t>Beban Transfer Bantuan Keuangan Kepada Parpol</t>
  </si>
  <si>
    <t>Beban Transfer Bantuan Keuangan Lainnya</t>
  </si>
  <si>
    <t>SURPLUS NON OPERASIONAL</t>
  </si>
  <si>
    <t>Defisit Penyelesaian Kewajiban Jangka Panjang</t>
  </si>
  <si>
    <t>PENDAPATAN LUAR BIASA</t>
  </si>
  <si>
    <t>ALAT KANTOR DAN RUMAH TANGGA</t>
  </si>
  <si>
    <t>ALAT STUDIO DAN KOMUNIKASI</t>
  </si>
  <si>
    <t>ALAT LABORATORIUM</t>
  </si>
  <si>
    <t>ALAT KEAMANAN</t>
  </si>
  <si>
    <t>JALAN DAN JEMBATAN</t>
  </si>
  <si>
    <t>INSTALASI</t>
  </si>
  <si>
    <t>JARINGAN</t>
  </si>
  <si>
    <t>Belanja Premi Asuransi Kesehatan Non PNS</t>
  </si>
  <si>
    <t>No.</t>
  </si>
  <si>
    <t>A</t>
  </si>
  <si>
    <t>ALAT KEDOKTERAN</t>
  </si>
  <si>
    <t>B</t>
  </si>
  <si>
    <t>BANGUNAN GEDUNG</t>
  </si>
  <si>
    <t>C</t>
  </si>
  <si>
    <t>JALAN, IRIGASI DAN JARINGAN</t>
  </si>
  <si>
    <t>Berkurang</t>
  </si>
  <si>
    <t xml:space="preserve">PEMERINTAH PROVINSI JAWA TENGAH </t>
  </si>
  <si>
    <t xml:space="preserve">URAIAN </t>
  </si>
  <si>
    <t>VOL</t>
  </si>
  <si>
    <t>TAMBAH</t>
  </si>
  <si>
    <t xml:space="preserve">BELANJA BARANG/JASA </t>
  </si>
  <si>
    <t>HIBAH</t>
  </si>
  <si>
    <t>MUTASI MASUK</t>
  </si>
  <si>
    <t>REKLASIFIKASI</t>
  </si>
  <si>
    <t>KOREKSI/PENILAIAN</t>
  </si>
  <si>
    <t>JUMLAH TAMBAH</t>
  </si>
  <si>
    <t>PENGHAPUSAN</t>
  </si>
  <si>
    <t>EKSTRACOMTABLE</t>
  </si>
  <si>
    <t>MUTASI KELUAR</t>
  </si>
  <si>
    <t>JUMLAH KURANG</t>
  </si>
  <si>
    <t>BELANJA MODAL</t>
  </si>
  <si>
    <t xml:space="preserve">TANAH </t>
  </si>
  <si>
    <t xml:space="preserve">PERALATAN DAN MESIN </t>
  </si>
  <si>
    <t>Alat-alat Besar</t>
  </si>
  <si>
    <t>Alat-alat Angkutan</t>
  </si>
  <si>
    <t>Alat-alat Bengkel</t>
  </si>
  <si>
    <t>Alat-alat Pertanian / Peternakan</t>
  </si>
  <si>
    <t>Alat-alat Kantor dan Rumah Tangga</t>
  </si>
  <si>
    <t>Alat-alat Studio dan Komunikasi</t>
  </si>
  <si>
    <t>Alat-alat Kedokteran</t>
  </si>
  <si>
    <t>Alat-alat Laboratorium</t>
  </si>
  <si>
    <t>Alat-alat Keamanan</t>
  </si>
  <si>
    <t xml:space="preserve">GEDUNG DAN BANGUNAN </t>
  </si>
  <si>
    <t>JALAN, IRIGASI DAN JEMBATAN</t>
  </si>
  <si>
    <t>Bangunan Air / Irigasi</t>
  </si>
  <si>
    <t>Instalasi</t>
  </si>
  <si>
    <t>ASET TETAP LAINNYA</t>
  </si>
  <si>
    <t>Buku Perpustakaan</t>
  </si>
  <si>
    <t>Hewan Ternak dan Tumbuhan</t>
  </si>
  <si>
    <t>Konstruksi Dalam Pengerjaan</t>
  </si>
  <si>
    <t>JUMLAH</t>
  </si>
  <si>
    <t xml:space="preserve"> </t>
  </si>
  <si>
    <t xml:space="preserve"> PEMERINTAH PROVINSI JAWA TENGAH</t>
  </si>
  <si>
    <t>BERTAMBAH</t>
  </si>
  <si>
    <t>BERKURANG</t>
  </si>
  <si>
    <t>BELANJA</t>
  </si>
  <si>
    <t>D</t>
  </si>
  <si>
    <t>E</t>
  </si>
  <si>
    <t>ASET TATAP LAINNYA</t>
  </si>
  <si>
    <t>Barang Bercorak Kesenian / Kebudayaan</t>
  </si>
  <si>
    <t>F</t>
  </si>
  <si>
    <t>Beban Hibah Aset</t>
  </si>
  <si>
    <t>Beban Penghapusan Aset</t>
  </si>
  <si>
    <t>Pendapatan Asli Daerah Lainnya</t>
  </si>
  <si>
    <t>Pendapatan Hibah dan Hibah Aset</t>
  </si>
  <si>
    <t>MASA DITERIMA DIMUKA</t>
  </si>
  <si>
    <t>SISA LEBIH PEMBIAYAAN ANGGARAN</t>
  </si>
  <si>
    <t>PEMBIAYAAN NETTO</t>
  </si>
  <si>
    <t>Pembentukan Dana Cadangan</t>
  </si>
  <si>
    <t>Penyertaan Modal ( Investasi ) Pemerintah Daerah</t>
  </si>
  <si>
    <t>Pengeluaran Daerah</t>
  </si>
  <si>
    <t>Penerimaan Pinjaman Pokok Dana Bergulir</t>
  </si>
  <si>
    <t>Penerimaan Pinjaman Pokok Dana Talangan Pengadaan Pangan</t>
  </si>
  <si>
    <t>Pencairan Dana Cadangan</t>
  </si>
  <si>
    <t>Penggunaan SILPA</t>
  </si>
  <si>
    <t>Penerimaan Pembiayaan Daerah</t>
  </si>
  <si>
    <t>PEMBIAYAAN</t>
  </si>
  <si>
    <t>SURPLUS/DEFISIT</t>
  </si>
  <si>
    <t>JUMLAH BELANJA</t>
  </si>
  <si>
    <t>Belanja Barang dan Jasa</t>
  </si>
  <si>
    <t>Belanja Pegawai</t>
  </si>
  <si>
    <t>Belanja Tidak Terduga</t>
  </si>
  <si>
    <t>Belanja Bantuan Sosial</t>
  </si>
  <si>
    <t>JUMLAH PENDAPATAN</t>
  </si>
  <si>
    <t>Dana Bagi Hasil Pajak dari Pemda Lainnya</t>
  </si>
  <si>
    <t>Pendapatan Hibah</t>
  </si>
  <si>
    <t>LAIN-LAIN PENDAPATAN  YANG SAH</t>
  </si>
  <si>
    <t>Lain-lain Pendapatan Asli Daerah Yang Sah</t>
  </si>
  <si>
    <t>Hasil Pengelolaan Kekayaan Daerah Yang Dipisahkan</t>
  </si>
  <si>
    <t>Pajak Daerah</t>
  </si>
  <si>
    <t>KODE REKENING</t>
  </si>
  <si>
    <t>4.3</t>
  </si>
  <si>
    <t>4.2</t>
  </si>
  <si>
    <t>4.1</t>
  </si>
  <si>
    <t>RK-PPKD KONSOLIDASIAN</t>
  </si>
  <si>
    <t>Ekuitas Perubahan SAL</t>
  </si>
  <si>
    <t>Utang Luar Negeri</t>
  </si>
  <si>
    <t>Utang Dalam Negeri</t>
  </si>
  <si>
    <t>Utang Beban</t>
  </si>
  <si>
    <t xml:space="preserve">Akumulasi Amortisasi </t>
  </si>
  <si>
    <t>Setara Kas (Deposito)</t>
  </si>
  <si>
    <t>Ekuitas Akhir</t>
  </si>
  <si>
    <t>Koreksi/Penyesuaian Lain-Lain</t>
  </si>
  <si>
    <t>4.10</t>
  </si>
  <si>
    <t>Koreksi/Penyesuaian Kurang Amortisasi</t>
  </si>
  <si>
    <t>-</t>
  </si>
  <si>
    <t>Koreksi/Penyesuaian Tambah Amortisasi</t>
  </si>
  <si>
    <t>Koreksi/Penyesuaian Amortisasi</t>
  </si>
  <si>
    <t>4.9</t>
  </si>
  <si>
    <t>Koreksi/Penyesuaian Aset Lainnya</t>
  </si>
  <si>
    <t>4.8</t>
  </si>
  <si>
    <t>Koreksi/Penyesuaian Kurang Penyusutan</t>
  </si>
  <si>
    <t>Koreksi/Penyesuaian Tambah Penyusutan</t>
  </si>
  <si>
    <t>Koreksi/Penyesuaian Penyusutan</t>
  </si>
  <si>
    <t>4.7</t>
  </si>
  <si>
    <t>Koreksi/Penyesuaian Kurang Penilaian Aset Tetap</t>
  </si>
  <si>
    <t>Koreksi/Penyesuaian Kurang Aset Tetap dari Mutasi Antar SKPD</t>
  </si>
  <si>
    <t>Koreksi/Penyesuaian Kurang Reklasifikasi ke  Aset Lainnya</t>
  </si>
  <si>
    <t>Koreksi/Penyesuaian Kurang Reklasifikasi antar Aset Tetap</t>
  </si>
  <si>
    <t>Koreksi/Penyesuaian Kurang Aset Tetap ke Aset Ekstrakontable</t>
  </si>
  <si>
    <t>Koreksi/Penyesuaian Tambah Penilaian Aset Tetap</t>
  </si>
  <si>
    <t>Koreksi/Penyesuaian Tambah Reklasifikasi dari  Aset Lainnya</t>
  </si>
  <si>
    <t>Koreksi/Penyesuaian Tambah Reklasifikasi antar Aset Tetap</t>
  </si>
  <si>
    <t>Koreksi/Penyesuaian Tambah Aset Tetap dari Mutasi Antar SKPD</t>
  </si>
  <si>
    <t>Koreksi/Penyesuaian Tambah Aset Tetap dari Belanja Barang dan Jasa</t>
  </si>
  <si>
    <t>Koreksi/Penyesuaian Aset Tetap</t>
  </si>
  <si>
    <t>4.6</t>
  </si>
  <si>
    <t>Koreksi/Penyesuaian Kurang investasi Non Permanen</t>
  </si>
  <si>
    <t>Koreksi/Penyesuaian Tambah Investasi Non Permanen</t>
  </si>
  <si>
    <t>Koreksi/Penyesuaian Investasi Non Permanen</t>
  </si>
  <si>
    <t>4.5</t>
  </si>
  <si>
    <t>Koreksi/Penyesuaian Kurang Penyisihan Piutang</t>
  </si>
  <si>
    <t>Koreksi/Penyesuaian Tambah Penyisihan Piutang</t>
  </si>
  <si>
    <t>Koreksi/Penyesuaian Persediaan</t>
  </si>
  <si>
    <t>4.4</t>
  </si>
  <si>
    <t>Koreksi/Penyesuaian Penyisihan Piutang</t>
  </si>
  <si>
    <t>Koreksi/Penyesuaian Kurang Piutang Lainnya</t>
  </si>
  <si>
    <t>Koreksi/Penyesuaian Kurang Piutang Retribusi</t>
  </si>
  <si>
    <t>Koreksi/Penyesuaian Kurang Piutang Pajak</t>
  </si>
  <si>
    <t>Koreksi/Penyesuaian Tambah Piutang Lainnya</t>
  </si>
  <si>
    <t>Koreksi/Penyesuaian Tambah Piutang Retribusi</t>
  </si>
  <si>
    <t>Koreksi/Penyesuaian Tambah Piutang Pajak</t>
  </si>
  <si>
    <t>Koreksi/Penyesuaian Piutang</t>
  </si>
  <si>
    <t>Koreksi/Penyesuaian Kurang Setara kas</t>
  </si>
  <si>
    <t>Koreksi/Penyesuaian Kurang Kas BLUD</t>
  </si>
  <si>
    <t>Koreksi/Penyesuaian Kurang Kas Bendahara Penerimaan</t>
  </si>
  <si>
    <t>Koreksi/Penyesuaian Kurang Kas Bendahara Pengeluaran</t>
  </si>
  <si>
    <t>Koreksi/Penyesuaian Tambah Setara kas</t>
  </si>
  <si>
    <t>Koreksi/Penyesuaian Tambah Kas BLUD</t>
  </si>
  <si>
    <t>Koreksi/Penyesuaian Tambah Kas Bendahara Penerimaan</t>
  </si>
  <si>
    <t>Koreksi/Penyesuaian Tambah Kas Bendahara Pengeluaran</t>
  </si>
  <si>
    <t>Koreksi/Penyesuaian Kas</t>
  </si>
  <si>
    <t>Dampak Kumulatif Perubahan Kebijakan/Kesalahan Mendasar</t>
  </si>
  <si>
    <t>RK-PPKD</t>
  </si>
  <si>
    <t>Surplus/Defisit-LO</t>
  </si>
  <si>
    <t>Ekuitas Awal</t>
  </si>
  <si>
    <t>Surplus/Defisit dari Kegiatan Non Operasi Lainnya</t>
  </si>
  <si>
    <t>Beban Penyusutan Aset Tetap</t>
  </si>
  <si>
    <t>Beban Penyusutan/Amortisasi</t>
  </si>
  <si>
    <t>Beban Bantuan Sosial</t>
  </si>
  <si>
    <t>Beban Hibah</t>
  </si>
  <si>
    <t>Beban Subsidi</t>
  </si>
  <si>
    <t>Beban Bunga</t>
  </si>
  <si>
    <t>Beban Barang dan Jasa Lainnya</t>
  </si>
  <si>
    <t>Beban Barang dan Jasa</t>
  </si>
  <si>
    <t>Pendapatan Lainnya</t>
  </si>
  <si>
    <t>Pendapatan Dana Darurat</t>
  </si>
  <si>
    <t>Hibah Barang/Jasa</t>
  </si>
  <si>
    <t xml:space="preserve">- </t>
  </si>
  <si>
    <t>Hibah Uang</t>
  </si>
  <si>
    <t>Lain-Lain PAD yang Sah</t>
  </si>
  <si>
    <t> JUMLAH ASET LANCAR (3 s.d 21)</t>
  </si>
  <si>
    <t>  JUMLAH INVESTASI JANGKA PANJANG (23 s.d 30)</t>
  </si>
  <si>
    <t> JUMLAH DANA CADANGAN (62)</t>
  </si>
  <si>
    <t>JUMLAH ASET LAINNYA (64 s.d 70)</t>
  </si>
  <si>
    <t> JUMLAH ASET (22+30+60+63+71)</t>
  </si>
  <si>
    <t>JUMLAH KEWAJIBAN (75 s.d 81)</t>
  </si>
  <si>
    <t>JUMLAH KEWAJIBAN JANGKA PANJANG (83 s.d 85)</t>
  </si>
  <si>
    <t>TOTAL KEWAJIBAN DAN EKUITAS DANA (87+91)</t>
  </si>
  <si>
    <t>JUMLAH KEWAJIBAN (81 s.d 86)</t>
  </si>
  <si>
    <t>Koreksi/Penyesuaian Tambah Koreksi</t>
  </si>
  <si>
    <t>Koreksi/Penyesuaian Kurang Koreksi</t>
  </si>
  <si>
    <t>Jumlah Pendapatan Asli Daerah (3 s.d 6)</t>
  </si>
  <si>
    <t>Jumlah Transfer Pemerintah Pusat Lainnya (16 s.d 17)</t>
  </si>
  <si>
    <t>Jumlah Pendapatan Transfer (14 + 18)</t>
  </si>
  <si>
    <t>Jumlah Lain-Lain Pendapatan yang Sah (23 s.d 25)</t>
  </si>
  <si>
    <t>JUMLAH PENDAPATAN (7+19+26)</t>
  </si>
  <si>
    <t>Jumlah Beban Operasional (30 s.d 37)</t>
  </si>
  <si>
    <t>Jumlah Beban Transfer (40 s.d 45)</t>
  </si>
  <si>
    <t>JUMLAH BEBAN (38+46)</t>
  </si>
  <si>
    <t>SURPLUS/DEFISIT DARI OPERASIONAL (27-47)</t>
  </si>
  <si>
    <t>JUMLAH SURPLUS/DEFISIT DARI KEGIATAN NON OPERASIONAL (57 s.d 62)</t>
  </si>
  <si>
    <t>SURPLUS/DEFISIT SEBELUM POS LUAR BIASA (54+62)</t>
  </si>
  <si>
    <t>JUMLAH POS LUAR BIASA (66-67)</t>
  </si>
  <si>
    <t>SURPLUS/DEFISIT LAPORAN OPERASIONAL (63+68)</t>
  </si>
  <si>
    <t xml:space="preserve">   Kendaraan</t>
  </si>
  <si>
    <t xml:space="preserve">   Gedung</t>
  </si>
  <si>
    <t>Belanja Perlengkapan Diklat/Seminar/Bintek/Sosialisasi/Lokakarya</t>
  </si>
  <si>
    <t>Belanja Hadiah Uang Atas Prestasi</t>
  </si>
  <si>
    <t>Belanja Hadiah Uang Atas Penghargaan</t>
  </si>
  <si>
    <t>Belanja Pengadaan Jasa Lainnya</t>
  </si>
  <si>
    <t>Belanja Jasa Agen Perjalanan</t>
  </si>
  <si>
    <t>Belanja Bimbingan teknis</t>
  </si>
  <si>
    <t>Belanja kursus-kursus singkat /pelatihan</t>
  </si>
  <si>
    <t>Belanja beasiswa ijin belajar S2</t>
  </si>
  <si>
    <t>Belanja beasiswa ijin belajar S3</t>
  </si>
  <si>
    <t>Belanja beasiswa ijin belajar S1</t>
  </si>
  <si>
    <t>Belanja Pemeliharaan Peralatan dan Mesin</t>
  </si>
  <si>
    <t>Belanja Pemeliharaan Gedung dan Bangunan</t>
  </si>
  <si>
    <t>Belanja Pemeliharan Aset Tetap Lainnya</t>
  </si>
  <si>
    <t>Belanja Pemeliharan Jaringan</t>
  </si>
  <si>
    <t>Belanja Pajak Kendaraan Bermotor</t>
  </si>
  <si>
    <t>Belanja Sewa Gedung/Kantor/Tempat</t>
  </si>
  <si>
    <t>Belanja Sewa Ruang Rapat/Pertemuan</t>
  </si>
  <si>
    <t>Belanja Sewa Gudang</t>
  </si>
  <si>
    <t>Belanja Sewa Kamar/Akomodasi</t>
  </si>
  <si>
    <t>Belanja Sewa Hotel</t>
  </si>
  <si>
    <t>Belanja Sewa Tanah</t>
  </si>
  <si>
    <t>Belanja Sewa Eskavator</t>
  </si>
  <si>
    <t>Belanja Sewa Buldoser</t>
  </si>
  <si>
    <t>Belanja Sewa Meja Kursi</t>
  </si>
  <si>
    <t>Belanja Sewa Komputer Dan Printer</t>
  </si>
  <si>
    <t>Belanja Sewa Proyektor</t>
  </si>
  <si>
    <t>Belanja Sewa Generator</t>
  </si>
  <si>
    <t>Belanja Sewa Tenda</t>
  </si>
  <si>
    <t>Belanja Sewa Pakaian Adat/Tradisional</t>
  </si>
  <si>
    <t>Belanja Premi Asuransi Ketenagakerjaan Non PNS</t>
  </si>
  <si>
    <t>Belanja Telepon</t>
  </si>
  <si>
    <t>Belanja Air</t>
  </si>
  <si>
    <t>Belanja Listrik</t>
  </si>
  <si>
    <t>Belanja Jasa Pengumuman Lelang/Pemenang Lelang</t>
  </si>
  <si>
    <t>Belanja Surat Kabar/Majalah</t>
  </si>
  <si>
    <t>Belanja Kawat/Faksimili/Internet/Intranet/TV Kabel/TV Satelit</t>
  </si>
  <si>
    <t>Belanja Paket/Pengiriman</t>
  </si>
  <si>
    <t>Belanja Jasa Pengelolaan Sampah</t>
  </si>
  <si>
    <t>Belanja Jasa Pemeriksaaan Laboratorium</t>
  </si>
  <si>
    <t>Belanja Jasa Pelayanan Pasien</t>
  </si>
  <si>
    <t>Belanja Jasa Langganan TV Berbayar</t>
  </si>
  <si>
    <t>Belanja Jasa Pendidikan Formal</t>
  </si>
  <si>
    <t>Belanja Pembayaran Pajak Hotel</t>
  </si>
  <si>
    <t>Belanja Jasa Medical Check Up KDH/WKDH dan DPRD</t>
  </si>
  <si>
    <t>Belanja Jasa Kebersihan</t>
  </si>
  <si>
    <t>Belanja Jasa Pengemudi</t>
  </si>
  <si>
    <t>Belanja Jasa Tenaga Teknis</t>
  </si>
  <si>
    <t>Belanja Jasa Pemeriksaan Hewan</t>
  </si>
  <si>
    <t>Belanja Jasa Pendidikan Non Formal</t>
  </si>
  <si>
    <t>Belanja Jasa Konsultansi Pengawasan</t>
  </si>
  <si>
    <t>Belanja Jasa Konsultansi Kostruksi</t>
  </si>
  <si>
    <t>Belanja Alat Tulis Kantor</t>
  </si>
  <si>
    <t>Belanja Dokumen/Administrasi Tender</t>
  </si>
  <si>
    <t>Belanja Alat Listrik Dan Elektronik (Lampu Pijar, Battery Kering)</t>
  </si>
  <si>
    <t>Belanja Perangko, Materai Dan Benda Pos Lainnya</t>
  </si>
  <si>
    <t>Belanja Peralatan Kebersihan Dan Bahan Pembersih</t>
  </si>
  <si>
    <t>Belanja Bahan Bakar Minyak/Gas</t>
  </si>
  <si>
    <t>Belanja Pengisian Tabung Pemadam Kebakaran</t>
  </si>
  <si>
    <t>Belanja Pengisian Tabung Gas</t>
  </si>
  <si>
    <t>Belanja Linen/Perlengkapan Ruang Pasien/Kelayan</t>
  </si>
  <si>
    <t>Belanja Alat Peraga/Bahan Pelatihan/Praktek</t>
  </si>
  <si>
    <t>Belanja Souvenir/Cendera Mata</t>
  </si>
  <si>
    <t>Belanja Stand Pameran</t>
  </si>
  <si>
    <t>Belanja Bahan Baku Bangunan</t>
  </si>
  <si>
    <t>Belanja Bahan/Bibit Tanaman</t>
  </si>
  <si>
    <t>Belanja Bibit Ternak</t>
  </si>
  <si>
    <t>Belanja Bahan Obat-Obatan</t>
  </si>
  <si>
    <t>Belanja Bahan Kimia dan Pupuk</t>
  </si>
  <si>
    <t>Belanja Persediaan Makanan Pokok</t>
  </si>
  <si>
    <t>Belanja Kantong Mayat</t>
  </si>
  <si>
    <t>Belanja Peralatan Kerja</t>
  </si>
  <si>
    <t>Belanja Perlengkapan/Peralatan Gedung/Kantor</t>
  </si>
  <si>
    <t>Belanja Perlengkapan/Peralatan Kesehatan/Kedokteran</t>
  </si>
  <si>
    <t>Belanja Alat-alat Ukur/Timbang</t>
  </si>
  <si>
    <t>Belanja Air Bersih</t>
  </si>
  <si>
    <t>Belanja Bahan Penelitian</t>
  </si>
  <si>
    <t>Belanja Pakaian Dinas KDH Dan WKDH</t>
  </si>
  <si>
    <t>Belanja Pakaian Kerja Lapangan</t>
  </si>
  <si>
    <t>Belanja Pakaian KORPRI</t>
  </si>
  <si>
    <t>Belanja Pakaian Adat Daerah</t>
  </si>
  <si>
    <t>Belanja Pakaian Batik Tradisional</t>
  </si>
  <si>
    <t>Belanja Pakaian Olahraga</t>
  </si>
  <si>
    <t>Belanja Pakaian Pasien/Pelayan Panti Sosial</t>
  </si>
  <si>
    <t>Belanja Makanan Dan Minuman Rapat</t>
  </si>
  <si>
    <t>Belanja Makanan Dan Minuman Tamu</t>
  </si>
  <si>
    <t>Belanja Makanan Dan Minuman Peserta Kegiatan</t>
  </si>
  <si>
    <t>Belanja Makanan Dan Minuman Pasien</t>
  </si>
  <si>
    <t>Belanja Makanan Dan Minuman Panti Sosial</t>
  </si>
  <si>
    <t>Belanja Makanan Dan Minuman Rumah Tangga KDH/WKDH</t>
  </si>
  <si>
    <t>BELANJA JASA TENAGA AHLI/INSTRUKTUR/NARASUMBER</t>
  </si>
  <si>
    <t>Honorarium Tenaga Ahli/Instruktur/Narasumber</t>
  </si>
  <si>
    <t>Belanja Jasa Tenaga Ahli/Instruktur/Narasumber</t>
  </si>
  <si>
    <t>Belanja Hibah Barang Perlengkapan/Peralatan/Mesin Yang Akan Diserahkan Kepada Pihak Ketiga/Masyarakat</t>
  </si>
  <si>
    <t>Belanja Hibah Barang Perlengkapan/Peralatan Peternakan/Perikanan Yang Akan Diserahkan Kepada Pihak Ketiga/Masyarakat</t>
  </si>
  <si>
    <t>Belanja Hibah Barang Perlengkapan/Peralatan Pertanian/Perkebunan Yang Akan Diserahkan Kepada Pihak Ketiga/Masyarakat</t>
  </si>
  <si>
    <t>Belanja Hibah Barang Perlengkapan/Peralatan Praktek Kerja Yang Akan Diserahkan Kepada Pihak Ketiga/Masyarakat</t>
  </si>
  <si>
    <t>Belanja Hibah Barang Bahan/Material Bangunan Yang Akan Diserahkan Kepada Pihak Ketiga/Masyarakat</t>
  </si>
  <si>
    <t>Belanja Hibah Barang Konstruksi Yang Akan Diserahkan Kepada Pihak Ketiga/Masyarakat</t>
  </si>
  <si>
    <t>Belanja Hibah Barang Bercorak Seni dan Kebudayaan Yang Akan Diserahkan Kepada Pihak Ketiga/Masyarakat</t>
  </si>
  <si>
    <t>Belanja Hibah Barang Ternak/Bibit Tanaman/Benih Yang Akan Diserahkan Kepada Pihak Ketiga/Masyarakat</t>
  </si>
  <si>
    <t>BELANJA HIBAH BARANG YANG DISERAHKAN KEPADA PIHAK KETIGA</t>
  </si>
  <si>
    <t>BELANJA BANTUAN SOSIAL BARANG YANG DISERAHKAN KEPADA PIHAK KETIGA</t>
  </si>
  <si>
    <t>Belanja Bantuan Sosial Barang Yang Akan Diserahkan Kepada Pihak Ketiga/Masyarakat.</t>
  </si>
  <si>
    <t>BELANJA BARANG YANG DISERAHKAN KEPADA PIHAK KETIGA</t>
  </si>
  <si>
    <t>Belanja Barang Perlengkapan/Peralatan/Mesin Yang Akan Diserahkan Kepada Pihak Ketiga/Masyarakat</t>
  </si>
  <si>
    <t>BELANJA HADIAH BARANG</t>
  </si>
  <si>
    <t>Belanja Hadiah Barang Atas Prestasi</t>
  </si>
  <si>
    <t>Belanja Hadiah Barang Atas Penghargaan</t>
  </si>
  <si>
    <t>Honorarium Tim Pengadaan Barang Dan Jasa</t>
  </si>
  <si>
    <t>Bantuan Transport Petugas Jembatan Timbang</t>
  </si>
  <si>
    <t>Honorarium Pegawai Honorer/Tidak Tetap</t>
  </si>
  <si>
    <t>Honorarium Pegawai Harian Lepas</t>
  </si>
  <si>
    <t>Honorarium Tenaga Keamanan/Pengemudi/Tenaga Teknis</t>
  </si>
  <si>
    <t>Upah Pekerja Seni</t>
  </si>
  <si>
    <t>Honorarium Layar ABK</t>
  </si>
  <si>
    <t xml:space="preserve">REALISASI PELUNASAN </t>
  </si>
  <si>
    <t>10 = 8-9</t>
  </si>
  <si>
    <t>SALDO ATAS UTANG THN 2015</t>
  </si>
  <si>
    <t>SALDO AWAL UTANG THN 2015</t>
  </si>
  <si>
    <t>Belan ja hibah barang yang dierahkan kepada pihak ketiga</t>
  </si>
  <si>
    <t>Belan ja Barang yangdiserahkan kepada pihak ketiga</t>
  </si>
  <si>
    <t>Belan ja Bantuan Sosial barang yang dierahkan kepada pihak ketiga</t>
  </si>
  <si>
    <t>BEBAN (YANG DIGUNAKAN SELAMA THN 2016</t>
  </si>
  <si>
    <t>9 = 7-8</t>
  </si>
  <si>
    <t>10=6+9</t>
  </si>
  <si>
    <t>13 = 11-12</t>
  </si>
  <si>
    <t>14 = 10+13</t>
  </si>
  <si>
    <t>11=8-3</t>
  </si>
  <si>
    <t>NOMOR</t>
  </si>
  <si>
    <t>JANGKA WAKTU ASURANSI</t>
  </si>
  <si>
    <t>NOMOR KENDARAAN</t>
  </si>
  <si>
    <t>TAHUN PEROLEHAN</t>
  </si>
  <si>
    <t xml:space="preserve">ASURANSI </t>
  </si>
  <si>
    <t>SEWA</t>
  </si>
  <si>
    <t>Kendaraan Roda 4 atau lebih</t>
  </si>
  <si>
    <t>Kendaraan Roda 2 dan 3</t>
  </si>
  <si>
    <t>CARA MENGISI</t>
  </si>
  <si>
    <t xml:space="preserve">Uraian diisi utaian jenis asuransi dan/atau sewa </t>
  </si>
  <si>
    <t>Tahun Perolehan diisi untuk kendaraan dan gedung</t>
  </si>
  <si>
    <t>Nomor kendaraan diisi untuk kendaraan</t>
  </si>
  <si>
    <t>Jangka Waktu diisi jangka waktu sesuai polis premi dan/atau jangka waktu kontrak sewa</t>
  </si>
  <si>
    <t>TOTAL PREMI/SEWA</t>
  </si>
  <si>
    <t>Total Premi dan/atau Sewa diisi nilai polis premi dan/atau kontrak sewa</t>
  </si>
  <si>
    <t>Beban diisi perhitungan beban (perhitungan menggunakan pendekatan bulan)</t>
  </si>
  <si>
    <t>Belanja dibayar dimuka diisi selisih dari total premi/sewa dikurangi beban</t>
  </si>
  <si>
    <t>Belanja Beasiswa Pendidikan PNS</t>
  </si>
  <si>
    <t>Belanja Kursus, Pelatihan, Sosialisasi dan Bimtek PNS</t>
  </si>
  <si>
    <t>Belanja Uang yang diberikan kepada pihak ketiga</t>
  </si>
  <si>
    <t>Belanja Pengadaan jasa lainnya</t>
  </si>
  <si>
    <t>8=6-7</t>
  </si>
  <si>
    <t>PER 31 DES 2016</t>
  </si>
  <si>
    <t>8 =3-5</t>
  </si>
  <si>
    <t>8 = 3-5</t>
  </si>
  <si>
    <t>4.1.1</t>
  </si>
  <si>
    <t>4.1.2</t>
  </si>
  <si>
    <t>4.1.3</t>
  </si>
  <si>
    <t>4.1.4</t>
  </si>
  <si>
    <t>Penerimaan Jasa Giro</t>
  </si>
  <si>
    <t>TGR</t>
  </si>
  <si>
    <t>Pendapatan Denda Keterlambatan</t>
  </si>
  <si>
    <t>Pendapatan Denda Pelanggaran Perda</t>
  </si>
  <si>
    <t>Pendapatan Bunga</t>
  </si>
  <si>
    <t>Pendapatan Fasum dan Fasos</t>
  </si>
  <si>
    <t>Pendapatan dari Penyelenggaraan Sekolah/Pendidikan dan Latihan</t>
  </si>
  <si>
    <t>Penerimaan Lain-Lain</t>
  </si>
  <si>
    <t>Pendapatan BLUD</t>
  </si>
  <si>
    <t>4.2.1</t>
  </si>
  <si>
    <t>TRANSFER PEMERINTAH PUSAT-DANA PERIMBANGAN</t>
  </si>
  <si>
    <t>4.2.1.1</t>
  </si>
  <si>
    <t>4.2.1.2</t>
  </si>
  <si>
    <t>Dana Bagi Hasil Bukan Pajak</t>
  </si>
  <si>
    <t>4.2.1.3</t>
  </si>
  <si>
    <t>4.2.1.4</t>
  </si>
  <si>
    <t>4.2.2</t>
  </si>
  <si>
    <t>TRANSFER PEMERINTAH PUSAT-LAINNYA</t>
  </si>
  <si>
    <t>4.2.2.1</t>
  </si>
  <si>
    <t>Dana Penyesuaian</t>
  </si>
  <si>
    <t>4.2.2.2</t>
  </si>
  <si>
    <t>4.3.1</t>
  </si>
  <si>
    <t>4.3.2</t>
  </si>
  <si>
    <t>5.1</t>
  </si>
  <si>
    <t>BELANJA OPERASI</t>
  </si>
  <si>
    <t>5.1.1</t>
  </si>
  <si>
    <t>Belanja Penunjang Ops.</t>
  </si>
  <si>
    <t>Belanja insentif Pemungut Pajak</t>
  </si>
  <si>
    <t>Belanja insentif Pemungut Retribusi</t>
  </si>
  <si>
    <t>Honorarium PNS</t>
  </si>
  <si>
    <t>Honorarium  Non PNS</t>
  </si>
  <si>
    <t>Uang Lembur</t>
  </si>
  <si>
    <t>Belanja Pegawai BLUD</t>
  </si>
  <si>
    <t>5.1.2</t>
  </si>
  <si>
    <t>Belanja Bahan Pakai Habis</t>
  </si>
  <si>
    <t>Belanja Jasa Kantor</t>
  </si>
  <si>
    <t>Belanja Premi Asuransi</t>
  </si>
  <si>
    <t>Belanja Perawatan Kendaraan Bermotor</t>
  </si>
  <si>
    <t>Belanja Cetak dan Penggandaan</t>
  </si>
  <si>
    <t>Belanja Sewa Rumah/Gedung/Gudang/Parkir</t>
  </si>
  <si>
    <t>Belanja Sewa Perlengkapan dan Peralatan Kantor</t>
  </si>
  <si>
    <t>Belanja Makanan dan  Minuman</t>
  </si>
  <si>
    <t>Belanja Pakaian Khusus dan Hari Teretntu</t>
  </si>
  <si>
    <t>Belanja kursus, pelatihan, sosialisasi dan bimbingan teknis PNS</t>
  </si>
  <si>
    <t>Belanja Jasa Konsultansi</t>
  </si>
  <si>
    <t xml:space="preserve">Belanja Bantuan Sosial Barang yang akan Diserahkan kepada Pihak Ketiga/Masyarakat </t>
  </si>
  <si>
    <t>Belanja Hibah Barang yang Akan Diserahkan kepada Pihak Ketiga</t>
  </si>
  <si>
    <t>Belanja Uang yang Diberikan Kepada Pihak Ketiga/Masy</t>
  </si>
  <si>
    <t>Belanja Hadiah Uang</t>
  </si>
  <si>
    <t>Belanja Publikasi</t>
  </si>
  <si>
    <t>Belanja Barang dan Jasa BLUD</t>
  </si>
  <si>
    <t>5.1.3</t>
  </si>
  <si>
    <t>5.1.4</t>
  </si>
  <si>
    <t>5.2</t>
  </si>
  <si>
    <t>5.2.1</t>
  </si>
  <si>
    <t>Belanja Modal Pengadaan Tanah</t>
  </si>
  <si>
    <t>Belanja Modal Pengadaan Peralatan dan Mesin</t>
  </si>
  <si>
    <t>Belanja Modal Pengadaan Gedung dan Bangunan</t>
  </si>
  <si>
    <t>Belanja Modal Pengadaan Jalan, Irigasi dan Jaringan</t>
  </si>
  <si>
    <t>Belanja Modal Pengadaan Aset Tetap Lainnya</t>
  </si>
  <si>
    <t>5.3</t>
  </si>
  <si>
    <t>BELANJA TIDAK TERDUGA</t>
  </si>
  <si>
    <t>5.3.1</t>
  </si>
  <si>
    <t>5.4</t>
  </si>
  <si>
    <t>BELANJA TRANSFER/BAGI HASIL KABUPATEN/KOTA</t>
  </si>
  <si>
    <t>5.4.1</t>
  </si>
  <si>
    <t>Belanja Bagi Hasil Pajak Daerah kepada Kab/Kota</t>
  </si>
  <si>
    <t>5.4.2</t>
  </si>
  <si>
    <t>Belanja Bagi Hasil Retribusi Daerah kepada Kab/Kota</t>
  </si>
  <si>
    <t>5.4.3</t>
  </si>
  <si>
    <t>Belanja Bantuan Keuangan kepada Kab/Kota</t>
  </si>
  <si>
    <t>5.4.4</t>
  </si>
  <si>
    <t>Belanja Bantuan Keuangan kepada Desa</t>
  </si>
  <si>
    <t>5.4.5</t>
  </si>
  <si>
    <t>Belanja Bantuan Kepada Partai Politik</t>
  </si>
  <si>
    <t>5.4.6</t>
  </si>
  <si>
    <t>Belanja bantuan Keuangan Kepada Pemda Lain</t>
  </si>
  <si>
    <t>6.1</t>
  </si>
  <si>
    <t>6.1.1</t>
  </si>
  <si>
    <t>6.1.2</t>
  </si>
  <si>
    <t>6.1.3</t>
  </si>
  <si>
    <t>6.1.4</t>
  </si>
  <si>
    <t>6.2.</t>
  </si>
  <si>
    <t>6.2.1</t>
  </si>
  <si>
    <t>6.2.2</t>
  </si>
  <si>
    <t>2016</t>
  </si>
  <si>
    <t>SKPD</t>
  </si>
  <si>
    <t>Nama Bidang</t>
  </si>
  <si>
    <t>Akumulasi Awal</t>
  </si>
  <si>
    <t xml:space="preserve">Koreksi </t>
  </si>
  <si>
    <t>Akumulasi Awal Stlh Koreksi</t>
  </si>
  <si>
    <t>Reklas</t>
  </si>
  <si>
    <t>Beban Penyusutan</t>
  </si>
  <si>
    <t>+/-</t>
  </si>
  <si>
    <t xml:space="preserve">Bertambah </t>
  </si>
  <si>
    <t>Masuk</t>
  </si>
  <si>
    <t>Keluar</t>
  </si>
  <si>
    <t>ALAT-ALAT BESAR</t>
  </si>
  <si>
    <t>ALAT-ALAT ANGKUT</t>
  </si>
  <si>
    <t>ALAT-ALAT BENGKEL</t>
  </si>
  <si>
    <t>ALAT-ALAT PERTANIAN</t>
  </si>
  <si>
    <t>BANGUNAN MONUMEN</t>
  </si>
  <si>
    <t>BANGUNAN AIR IRIGASI</t>
  </si>
  <si>
    <t>JURNAL KOREKSI [MANUAL]</t>
  </si>
  <si>
    <t>UN AUDITED</t>
  </si>
  <si>
    <t>K</t>
  </si>
  <si>
    <t>Rp.</t>
  </si>
  <si>
    <t>Alat-alat Bengkel dan Ukur</t>
  </si>
  <si>
    <t>Alat-alat Pertanian dan Peternakan</t>
  </si>
  <si>
    <t>KONSTRUKSI DALAM PENGERJAAN</t>
  </si>
  <si>
    <t>ASET TAK BERWUJUD</t>
  </si>
  <si>
    <t>Sofware</t>
  </si>
  <si>
    <t>ASET TAK BERWUJUD DALAM PENGERJAAN</t>
  </si>
  <si>
    <t>Aset Tak Berwujud Dalam Pengerjaan</t>
  </si>
  <si>
    <t>SOFWARE</t>
  </si>
  <si>
    <t>REKLAS PEMANFAATAN</t>
  </si>
  <si>
    <t>PELEPASAN</t>
  </si>
  <si>
    <t>PENJUALAN</t>
  </si>
  <si>
    <t>LAIN-LAIN</t>
  </si>
  <si>
    <t>PEMUSNAHAN</t>
  </si>
  <si>
    <t>KURANG</t>
  </si>
  <si>
    <t>Persediaan Bahan Habis Pakai</t>
  </si>
  <si>
    <t>Persediaan Bahan/Material</t>
  </si>
  <si>
    <t>Persediaan Cetak</t>
  </si>
  <si>
    <t xml:space="preserve">Persediaan Pakaian Dinas/Kerja </t>
  </si>
  <si>
    <t>Persediaan Makanan dan Minuman</t>
  </si>
  <si>
    <t>Persediaan Hibah</t>
  </si>
  <si>
    <t>Belanja Dibayar Dimuka (Asuransi BMD)</t>
  </si>
  <si>
    <t>Belanja Dibayar Dimuka (Asuransi Non PNS)</t>
  </si>
  <si>
    <t>Belanja Dibayar Dimuka (Barang/Jasa)</t>
  </si>
  <si>
    <t>Akumulasi Penyusutan Peralatan dan Mesin</t>
  </si>
  <si>
    <t>Akumulasi Penyusutan Alat Berat</t>
  </si>
  <si>
    <t>Akumulasi Penyusutan Alat Angkutan</t>
  </si>
  <si>
    <t>Akumulasi Penyusutan Alat Bengkel</t>
  </si>
  <si>
    <t>Akumulasi Penyusutan Alat Pertanian dan Peternakan</t>
  </si>
  <si>
    <t>Akumulasi Penyusutan Alat Kantor dan Rumah Tangga</t>
  </si>
  <si>
    <t>Akumulasi Penyusutan Alat Studio dan Alat Komunikasi</t>
  </si>
  <si>
    <t>Akumulasi Penyusutan Alat Kedokteran</t>
  </si>
  <si>
    <t>Akumulasi Penyusutan Alat Laboratorium</t>
  </si>
  <si>
    <t>Akumulasi Penyusutan Alat Keamanan</t>
  </si>
  <si>
    <t>Akumulasi Penyusutan Gedung dan Bangunan</t>
  </si>
  <si>
    <t>Akumulasi Penyusutan Bangunan Gedung</t>
  </si>
  <si>
    <t>Akumulasi Penyusutan Bangunan Monumen</t>
  </si>
  <si>
    <t>Akumulasi Penyusutan Jalan, Irigasi, dan Jaringan</t>
  </si>
  <si>
    <t>Akumulasi Penyusutan Jalan dan Jembatan</t>
  </si>
  <si>
    <t>Akumulasi Penyusutan Bangunan Air (Irigasi)</t>
  </si>
  <si>
    <t xml:space="preserve">Akumulasi Penyusutan Instalasi </t>
  </si>
  <si>
    <t>Akumulasi Penyusutan Jaringan</t>
  </si>
  <si>
    <t> JUMLAH ASET TETAP (31 s.d 75)</t>
  </si>
  <si>
    <t>Akumulasi Amortisasi Aset Tak Berwujud</t>
  </si>
  <si>
    <t>Aset Rusak Berat</t>
  </si>
  <si>
    <t>Akumulasi Penyusutan Aset Lainnya</t>
  </si>
  <si>
    <t>Aset Lain-Lain</t>
  </si>
  <si>
    <t>Koreksi/Penyesuaian Penyusutan Aset Lainnya</t>
  </si>
  <si>
    <t>Koreksi/Penyesuaian Tambah Lain-Lain</t>
  </si>
  <si>
    <t>Koreksi/Penyesuaian Kurang Lain-Lain</t>
  </si>
  <si>
    <t>MUTASI DARI ASET TETAP</t>
  </si>
  <si>
    <t>MUTASI KE ASET TETAP</t>
  </si>
  <si>
    <t>Koreksi/Penyesuaian Tambah Reklas Pemanfaatan</t>
  </si>
  <si>
    <t>JUMLAH PELEPASAN</t>
  </si>
  <si>
    <t>JUMLAH PENGHAPUSAN</t>
  </si>
  <si>
    <t>Koreksi/Penyesuaian Tambah Mutasi dari Aset Tetap</t>
  </si>
  <si>
    <t>Koreksi/Penyesuaian Kurang Mutasi ke  Aset Tetap</t>
  </si>
  <si>
    <t>Koreksi/Penyesuaian Kurang Reklas Pemanfaatan</t>
  </si>
  <si>
    <t xml:space="preserve">Koreksi/Penyesuaian Tambah Penyusutan </t>
  </si>
  <si>
    <t>Beban Penyusutan Aset lainnya</t>
  </si>
  <si>
    <t>Beban Amortisasi</t>
  </si>
  <si>
    <t>Koreksi/Penyesuaian Tambah Aset Tak Berwujud</t>
  </si>
  <si>
    <t>Koreksi/Penyesuaian Kurang Aset Tak Berwujud</t>
  </si>
  <si>
    <t>4.11</t>
  </si>
  <si>
    <t>Koreksi/Penyesuaian Penyisihan Investasi Non Permanen</t>
  </si>
  <si>
    <t>Koreksi/Penyesuaian Tambah Penyisihan Investasi Non Permanen</t>
  </si>
  <si>
    <t>Koreksi/Penyesuaian Kurang Penyisihan Investasi Non Permanen</t>
  </si>
  <si>
    <t>4.12</t>
  </si>
  <si>
    <t>9 = 8-7</t>
  </si>
  <si>
    <t>Koreksi/Penyesuaian Tambah Persediaan</t>
  </si>
  <si>
    <t>Koreksi/Penyesuaian Kurang Persediaan</t>
  </si>
  <si>
    <t>REALISASI 2017</t>
  </si>
  <si>
    <t>ALASAN REALISASI 2017 TIDAK TERSERAP &lt; 95%</t>
  </si>
  <si>
    <t>SALDO AWAL PER 1 JANUARI 2017</t>
  </si>
  <si>
    <t>NILAI ASET PER 31 DESEMBER 2017</t>
  </si>
  <si>
    <t>SALDO AKHIR PER 31 DESEMBER 2017</t>
  </si>
  <si>
    <t>TAHUN 2017</t>
  </si>
  <si>
    <t>AKUMULASI PENYUSUTAN BARANG MILIK DAERAH TAHUN 2017</t>
  </si>
  <si>
    <t>Nilai Akhir Per 31 Desember 2017</t>
  </si>
  <si>
    <t>Nilai Buku Per 31 Desember 2017</t>
  </si>
  <si>
    <t>AKUMULASI AMORTISASI ASET TAK BERWUJUD TAHUN 2017</t>
  </si>
  <si>
    <t>AKUMULASI PENYUSUTAN ASET LAINNYA TAHUN 2017</t>
  </si>
  <si>
    <t>Per 31 Desember 2017</t>
  </si>
  <si>
    <t>PER 31 DES 2017</t>
  </si>
  <si>
    <t>UNTUK TAHUN YANG BERAKHIR SAMPAI DENGAN 31 DESEMBER 2017</t>
  </si>
  <si>
    <t>REALISASI DITERIMA DIMUKA  2017</t>
  </si>
  <si>
    <t>PENDAPATAN DITERIMA DIMUKA PER 31 DESEMBER 2017</t>
  </si>
  <si>
    <t>REALISASI PEMBAYARAN DI THN 2017 ATAS PIUTANG AWAL</t>
  </si>
  <si>
    <t>SALDO ATAS PIUTANG SEBELUM TAHUN 2017</t>
  </si>
  <si>
    <t>PENDAPATAN SESUAI SKP/SKR YG DITERBITKAN TAHUN 2017</t>
  </si>
  <si>
    <t>REALISASI PEMBAYARAN SESUAI SKP/SKR TAHUN 2017</t>
  </si>
  <si>
    <t>SALDO ATAS PIUTANG SKP/SKR TAHUN 2017</t>
  </si>
  <si>
    <t>PIUTANG PER 31 DESEMBER  2017</t>
  </si>
  <si>
    <t>SALDO AWAL UTANG THN 2016</t>
  </si>
  <si>
    <t>SALDO ATAS UTANG THN 2016</t>
  </si>
  <si>
    <t>BEBAN (YANG DIGUNAKAN SELAMA THN 2017</t>
  </si>
  <si>
    <t>REALISASI ATAS PEMBAYARAN THN 2017</t>
  </si>
  <si>
    <t>SALDO ATAS UTANG BEBAN PER 31 DESEMBER 2017</t>
  </si>
  <si>
    <t>UTANG JASA  PER 31 DESEMBER 2017</t>
  </si>
  <si>
    <t>SALDO AWAL PERSEDIAAN THN 2017</t>
  </si>
  <si>
    <t xml:space="preserve"> ASURANSI DAN SEWA DIBAYAR DIMUKA 2017</t>
  </si>
  <si>
    <t>SKPD SETDA PROV.JATENG</t>
  </si>
  <si>
    <t>STATION WAGON TOYOTA INNOVA V/AT</t>
  </si>
  <si>
    <t>H 9519 EZ</t>
  </si>
  <si>
    <t>ASURANSI ASKRIDA</t>
  </si>
  <si>
    <t>STATION WAGON TOYOTA INNOVA 2.4 Q AT</t>
  </si>
  <si>
    <t>H 9519 YZ</t>
  </si>
  <si>
    <t>H 9520 YZ</t>
  </si>
  <si>
    <t>JEEP TOYOTA ALL NEW FORTUNER 2.4 G/AT</t>
  </si>
  <si>
    <t>H 9517 ZZ</t>
  </si>
  <si>
    <t>STATION WAGON TOYOTA INNOVA 2.4 G AT</t>
  </si>
  <si>
    <t>H 9526 GG</t>
  </si>
  <si>
    <t>JEEP FORTUNER 2.5 GM/T</t>
  </si>
  <si>
    <t>H 95 15 VZ</t>
  </si>
  <si>
    <t>2015</t>
  </si>
  <si>
    <t>STATION WAGON TOYOTA INNOVA VAT/TGN</t>
  </si>
  <si>
    <t>H 9516 VZ</t>
  </si>
  <si>
    <t>MICROBUS HI ACE COMMUTER MA</t>
  </si>
  <si>
    <t>H 9521 RZ</t>
  </si>
  <si>
    <t>BUS MEDIUM</t>
  </si>
  <si>
    <t>H 9524 NZ</t>
  </si>
  <si>
    <t>2014</t>
  </si>
  <si>
    <t>H 9527 NZ</t>
  </si>
  <si>
    <t>STATION WAGON NEW AVANZA</t>
  </si>
  <si>
    <t>H 9518 MZ</t>
  </si>
  <si>
    <t>STATION WAGON NEW AVANZA VELOZ 1.5 MT</t>
  </si>
  <si>
    <t>H 9523 PZ</t>
  </si>
  <si>
    <t>H 9522 PZ</t>
  </si>
  <si>
    <t>STATION WAGON TOYOTA INNOVA 2.0 G AT</t>
  </si>
  <si>
    <t>H 9528 PZ</t>
  </si>
  <si>
    <t>TOYOTA INNOVA V/AT</t>
  </si>
  <si>
    <t>H 9525 ZR</t>
  </si>
  <si>
    <t>2013</t>
  </si>
  <si>
    <t>H 9518 EZ</t>
  </si>
  <si>
    <t>H 9524 ZR</t>
  </si>
  <si>
    <t>STATION WAGON TOYOTA INNOVA V DSL</t>
  </si>
  <si>
    <t>H 9523 ZR</t>
  </si>
  <si>
    <t>STATION WAGON TOYOTA INNOVA V A/T</t>
  </si>
  <si>
    <t>H 9516 EZ</t>
  </si>
  <si>
    <t>STATION WAGON TOYOTA INNOVA DSL M/T</t>
  </si>
  <si>
    <t>H 9528 DZ</t>
  </si>
  <si>
    <t>STATION WAGON TOYOTA INNOVA G M/T</t>
  </si>
  <si>
    <t>H 9527 DZ</t>
  </si>
  <si>
    <t>H 9517 EZ</t>
  </si>
  <si>
    <t>30 Januari 2017 S/D 30 Januari 2018 ( 11 bulan di tahun 2017 dan 1 Bulan di tahun 2018 )</t>
  </si>
  <si>
    <t>Gedung Kantor Gubernur Jawa Tengah Jl. Pahlawan No. 9 Semarang 12 lantai</t>
  </si>
  <si>
    <t>Gedung Gradhika Bhakti Praja Jl. Pahlawan No. 10 Semarang 2 lantai</t>
  </si>
  <si>
    <t>Gedung B Komplek Sekretariat Daerah Provinsi Jawa Tengah Jl. Taman Menteri Supeno 2 Semarang 5 lantai</t>
  </si>
  <si>
    <t>Gedung C Komplek Sekretariat Daerah Provinsi Jawa Tengah Jl. Taman Menteri Supeno 2 Semarang 4 lantai</t>
  </si>
  <si>
    <t>Gedung D Komplek Sekretariat Daerah Provinsi Jawa Tengah Jl. Taman Menteri Supeno 2 Semarang 4 lantai</t>
  </si>
  <si>
    <t>Gedung E Komplek Sekretariat Daerah Provinsi Jawa Tengah Jl. Taman Menteri Supeno 2 Semarang 4 lantai</t>
  </si>
  <si>
    <t>29 September 2017 S/D 29 September 2018 ( 3 bulan di tahun 2017 dan 9 Bulan di tahun 2018 )</t>
  </si>
  <si>
    <t>Gedung Dharma Wanita Jawa Tengah Jl. Taman Menteri Supeno no. 1 Semarang (Gedung F) 5 lantai dan Gedung Data Center</t>
  </si>
  <si>
    <t>Gedung Wanita Jawa Tengah Jl. Sriwijaya no. 29 Semarang 2 lantai</t>
  </si>
  <si>
    <t>Gedung PKK Jl. Letjen Suprapto Ungaran 2 lantai</t>
  </si>
  <si>
    <t xml:space="preserve">Pool Kendaraan Jl. Kyai Saleh no. 5 Semarang </t>
  </si>
  <si>
    <t>Kompleks Wisma Perdamaian Rumah Dinas Gubernur Jawa Tengah Jl. Imam Bonjol Semarang 2 lantai</t>
  </si>
  <si>
    <t xml:space="preserve">Rumah Dinas Sekretaris Daerah Jl. Dr. Wahidin no. 40 Semarang </t>
  </si>
  <si>
    <t>Rumah Dinas Gubernur Jawa Tengah Jl. Gubernur Budiono no. 8 Semarang</t>
  </si>
  <si>
    <t>Rumah Dinas Wakil Gubernur Jawa Tengah Jl. Rinjani no. 1 Semarang</t>
  </si>
  <si>
    <t xml:space="preserve">Rumah Genset Jl. Pahlawan no. 9 Semarang </t>
  </si>
  <si>
    <t>ASURANSI BHAKTI BHAYANGKARA</t>
  </si>
  <si>
    <t>ASURANSI SINAR MAS</t>
  </si>
  <si>
    <t>29 Oktober  2017 S/D 29 Oktober 2018 ( 2 bulan di tahun 2017 dan 10 Bulan di tahun 2018 )</t>
  </si>
  <si>
    <t>LAPORAN REALISASI ANGGARAN PENDAPATAN DAN BELANJA</t>
  </si>
  <si>
    <t>periode 1 januari s.d 31 Desember 2017</t>
  </si>
  <si>
    <t>Kode</t>
  </si>
  <si>
    <t>Anggaran</t>
  </si>
  <si>
    <t>Realisasi</t>
  </si>
  <si>
    <t>Lebih Kurang</t>
  </si>
  <si>
    <t>Hasil Retribusi Daerah</t>
  </si>
  <si>
    <t>4.1.2.02</t>
  </si>
  <si>
    <t>4.1.2.02.01</t>
  </si>
  <si>
    <t>Retribusi Pemakaian Kekayaan Daerah - Penyewaan Tanah dan Bangunan</t>
  </si>
  <si>
    <t>4.1.2.02.17</t>
  </si>
  <si>
    <t>Retribusi Tempat Penginapan/Pesanggrahan/Villa</t>
  </si>
  <si>
    <t>Jumlah Pendapatan</t>
  </si>
  <si>
    <t>BELANJA TIDAK LANGSUNG</t>
  </si>
  <si>
    <t>5.1.1.01</t>
  </si>
  <si>
    <t>Belanja Gaji dan Tunjangan</t>
  </si>
  <si>
    <t>5.1.1.01.01</t>
  </si>
  <si>
    <t>Gaji Pokok PNS/Uang Representasi</t>
  </si>
  <si>
    <t>5.1.1.01.02</t>
  </si>
  <si>
    <t>Tunjangan Keluarga</t>
  </si>
  <si>
    <t>5.1.1.01.03</t>
  </si>
  <si>
    <t>Tunjangan Jabatan</t>
  </si>
  <si>
    <t>5.1.1.01.04</t>
  </si>
  <si>
    <t>Tunjangan Fungsional</t>
  </si>
  <si>
    <t>5.1.1.01.05</t>
  </si>
  <si>
    <t>Tunjangan Fungsional Umum</t>
  </si>
  <si>
    <t>5.1.1.01.06</t>
  </si>
  <si>
    <t>Tunjangan Beras</t>
  </si>
  <si>
    <t>5.1.1.01.07</t>
  </si>
  <si>
    <t>Tunjangan PPh/Tunjangan Khusus</t>
  </si>
  <si>
    <t>5.1.1.01.08</t>
  </si>
  <si>
    <t>Pembulatan Gaji</t>
  </si>
  <si>
    <t>5.1.1.01.22</t>
  </si>
  <si>
    <t>Iuran BPJS Kesehatan</t>
  </si>
  <si>
    <t>5.1.1.01.23</t>
  </si>
  <si>
    <t>Iuran Jaminan Kecelakaan Kerja/Kematian</t>
  </si>
  <si>
    <t>5.1.1.02</t>
  </si>
  <si>
    <t>Belanja Tambahan Penghasilan PNS</t>
  </si>
  <si>
    <t>5.1.1.02.01</t>
  </si>
  <si>
    <t>Tambahan Penghasilan Berdasarkan Beban Kerja</t>
  </si>
  <si>
    <t>BELANJA LANGSUNG</t>
  </si>
  <si>
    <t>5.2.1.01</t>
  </si>
  <si>
    <t>5.2.1.01.01</t>
  </si>
  <si>
    <t>5.2.1.01.02</t>
  </si>
  <si>
    <t>5.2.1.01.05</t>
  </si>
  <si>
    <t>5.2.1.02</t>
  </si>
  <si>
    <t>Honorarium Non PNS</t>
  </si>
  <si>
    <t>5.2.1.02.02</t>
  </si>
  <si>
    <t>5.2.1.02.04</t>
  </si>
  <si>
    <t>5.2.1.02.06</t>
  </si>
  <si>
    <t>5.2.1.02.11</t>
  </si>
  <si>
    <t>5.2.2.01</t>
  </si>
  <si>
    <t>5.2.2.01.01</t>
  </si>
  <si>
    <t>5.2.2.01.03</t>
  </si>
  <si>
    <t>5.2.2.01.04</t>
  </si>
  <si>
    <t>5.2.2.01.05</t>
  </si>
  <si>
    <t>5.2.2.01.06</t>
  </si>
  <si>
    <t>5.2.2.01.08</t>
  </si>
  <si>
    <t>5.2.2.01.10</t>
  </si>
  <si>
    <t>5.2.2.01.15</t>
  </si>
  <si>
    <t>5.2.2.01.16</t>
  </si>
  <si>
    <t>5.2.2.01.19</t>
  </si>
  <si>
    <t>5.2.2.01.21</t>
  </si>
  <si>
    <t>5.2.2.01.22</t>
  </si>
  <si>
    <t>5.2.2.02</t>
  </si>
  <si>
    <t>5.2.2.02.01</t>
  </si>
  <si>
    <t>5.2.2.02.04</t>
  </si>
  <si>
    <t>5.2.2.02.09</t>
  </si>
  <si>
    <t>5.2.2.02.13</t>
  </si>
  <si>
    <t>5.2.2.03</t>
  </si>
  <si>
    <t>5.2.2.03.01</t>
  </si>
  <si>
    <t>5.2.2.03.02</t>
  </si>
  <si>
    <t>5.2.2.03.03</t>
  </si>
  <si>
    <t>5.2.2.03.05</t>
  </si>
  <si>
    <t>5.2.2.03.06</t>
  </si>
  <si>
    <t>5.2.2.03.07</t>
  </si>
  <si>
    <t>5.2.2.03.08</t>
  </si>
  <si>
    <t>5.2.2.03.13</t>
  </si>
  <si>
    <t>5.2.2.03.16</t>
  </si>
  <si>
    <t>5.2.2.03.20</t>
  </si>
  <si>
    <t>5.2.2.03.21</t>
  </si>
  <si>
    <t>5.2.2.03.23</t>
  </si>
  <si>
    <t>5.2.2.03.28</t>
  </si>
  <si>
    <t>5.2.2.03.29</t>
  </si>
  <si>
    <t>5.2.2.03.31</t>
  </si>
  <si>
    <t>5.2.2.03.32</t>
  </si>
  <si>
    <t>5.2.2.04</t>
  </si>
  <si>
    <t>5.2.2.04.02</t>
  </si>
  <si>
    <t>5.2.2.04.05</t>
  </si>
  <si>
    <t>5.2.2.05</t>
  </si>
  <si>
    <t>5.2.2.05.01</t>
  </si>
  <si>
    <t>5.2.2.05.02</t>
  </si>
  <si>
    <t>5.2.2.06</t>
  </si>
  <si>
    <t>5.2.2.06.01</t>
  </si>
  <si>
    <t>5.2.2.06.02</t>
  </si>
  <si>
    <t>5.2.2.07</t>
  </si>
  <si>
    <t>5.2.2.07.02</t>
  </si>
  <si>
    <t>5.2.2.07.03</t>
  </si>
  <si>
    <t>5.2.2.07.06</t>
  </si>
  <si>
    <t>5.2.2.07.07</t>
  </si>
  <si>
    <t>5.2.2.08</t>
  </si>
  <si>
    <t>5.2.2.08.01</t>
  </si>
  <si>
    <t>Belanja Sewa Sarana Mobilitas Darat</t>
  </si>
  <si>
    <t>5.2.2.10</t>
  </si>
  <si>
    <t>5.2.2.10.01</t>
  </si>
  <si>
    <t>5.2.2.10.04</t>
  </si>
  <si>
    <t>5.2.2.10.05</t>
  </si>
  <si>
    <t>5.2.2.10.06</t>
  </si>
  <si>
    <t>5.2.2.10.07</t>
  </si>
  <si>
    <t>5.2.2.10.08</t>
  </si>
  <si>
    <t>5.2.2.11</t>
  </si>
  <si>
    <t>5.2.2.11.02</t>
  </si>
  <si>
    <t>5.2.2.11.03</t>
  </si>
  <si>
    <t>5.2.2.11.05</t>
  </si>
  <si>
    <t>5.2.2.11.08</t>
  </si>
  <si>
    <t>5.2.2.12</t>
  </si>
  <si>
    <t>5.2.2.12.01</t>
  </si>
  <si>
    <t>5.2.2.13</t>
  </si>
  <si>
    <t>5.2.2.13.01</t>
  </si>
  <si>
    <t>5.2.2.14</t>
  </si>
  <si>
    <t>Belanja Pakaian khusus dan hari-hari tertentu</t>
  </si>
  <si>
    <t>5.2.2.14.02</t>
  </si>
  <si>
    <t>5.2.2.14.04</t>
  </si>
  <si>
    <t>5.2.2.15</t>
  </si>
  <si>
    <t>5.2.2.15.01</t>
  </si>
  <si>
    <t>Belanja Perjalanan Dinas Dalam Daerah</t>
  </si>
  <si>
    <t>5.2.2.15.02</t>
  </si>
  <si>
    <t>Belanja Perjalanan Dinas Luar Daerah</t>
  </si>
  <si>
    <t>5.2.2.15.03</t>
  </si>
  <si>
    <t>Belanja perjalanan dinas luar negeri</t>
  </si>
  <si>
    <t>5.2.2.17</t>
  </si>
  <si>
    <t>5.2.2.17.03</t>
  </si>
  <si>
    <t>Belanja Bimbingan Teknis</t>
  </si>
  <si>
    <t>5.2.2.20</t>
  </si>
  <si>
    <t>5.2.2.20.04</t>
  </si>
  <si>
    <t>Belanja Pemeliharan Peralatan dan Mesin</t>
  </si>
  <si>
    <t>5.2.2.20.05</t>
  </si>
  <si>
    <t>Belanja Pemeliharan Gedung dan Bangunan</t>
  </si>
  <si>
    <t>5.2.2.20.06</t>
  </si>
  <si>
    <t>5.2.2.20.07</t>
  </si>
  <si>
    <t>5.2.2.21</t>
  </si>
  <si>
    <t>5.2.2.21.01</t>
  </si>
  <si>
    <t>5.2.2.21.02</t>
  </si>
  <si>
    <t>5.2.2.21.04</t>
  </si>
  <si>
    <t>5.2.2.21.05</t>
  </si>
  <si>
    <t>5.2.2.27</t>
  </si>
  <si>
    <t>5.2.2.27.01</t>
  </si>
  <si>
    <t>5.2.2.27.02</t>
  </si>
  <si>
    <t>5.2.2.30</t>
  </si>
  <si>
    <t>Uang Untuk Diberikan Kepada Pihak Ketiga/Masyarakat</t>
  </si>
  <si>
    <t>5.2.2.30.01</t>
  </si>
  <si>
    <t>5.2.2.30.02</t>
  </si>
  <si>
    <t>Belanja Modal</t>
  </si>
  <si>
    <t>5.2.3.14</t>
  </si>
  <si>
    <t>Belanja Modal Peralatan dan Mesin - Pengadaan Alat-Alat Besar Darat</t>
  </si>
  <si>
    <t>5.2.3.14.10</t>
  </si>
  <si>
    <t>Belanja Modal Peralatan dan Mesin - Pengadaan Alat Pengangkat</t>
  </si>
  <si>
    <t>5.2.3.16</t>
  </si>
  <si>
    <t>Belanja Modal Peralatan dan Mesin - Pengadaan Alat-alat Bantu</t>
  </si>
  <si>
    <t>5.2.3.16.04</t>
  </si>
  <si>
    <t>Belanja Modal Peralatan dan Mesin - Pengadaan Electric Generating Set</t>
  </si>
  <si>
    <t>5.2.3.18</t>
  </si>
  <si>
    <t>Belanja Modal Peralatan dan Mesin - Pengadaan Alat Angkutan Darat Tak Bermotor</t>
  </si>
  <si>
    <t>5.2.3.18.02</t>
  </si>
  <si>
    <t>Belanja Modal Peralatan dan Mesin - Pengadaan Kendaraan Tak Bermotor Berpenumpang</t>
  </si>
  <si>
    <t>5.2.3.28</t>
  </si>
  <si>
    <t>Belanja Modal Peralatan dan Mesin - Pengadaan Alat Rumah Tangga</t>
  </si>
  <si>
    <t>5.2.3.28.01</t>
  </si>
  <si>
    <t>Belanja Modal Peralatan dan Mesin - Pengadaan Meubelair</t>
  </si>
  <si>
    <t>5.2.3.28.04</t>
  </si>
  <si>
    <t>Belanja Modal Peralatan dan Mesin - Pengadaan Alat Pendingin</t>
  </si>
  <si>
    <t>5.2.3.28.06</t>
  </si>
  <si>
    <t>Belanja Modal Peralatan dan Mesin - Pengadaan Alat Rumah Tangga Lainnya (Home Use)</t>
  </si>
  <si>
    <t>5.2.3.29</t>
  </si>
  <si>
    <t>Belanja Modal Peralatan dan Mesin - Pengadaan Komputer</t>
  </si>
  <si>
    <t>5.2.3.29.02</t>
  </si>
  <si>
    <t>Belanja Modal Peralatan dan Mesin - Pengadaan Personal Komputer</t>
  </si>
  <si>
    <t>5.2.3.29.05</t>
  </si>
  <si>
    <t>Belanja Modal Peralatan dan Mesin - Pengadaan Peralatan Personal Komputer</t>
  </si>
  <si>
    <t>5.2.3.31</t>
  </si>
  <si>
    <t>Belanja Modal Peralatan dan Mesin - Pengadaan Alat Studio</t>
  </si>
  <si>
    <t>5.2.3.31.01</t>
  </si>
  <si>
    <t>Belanja Modal Peralatan dan Mesin - Pengadaan Peralatan Studio Visual</t>
  </si>
  <si>
    <t>5.2.3.32</t>
  </si>
  <si>
    <t>Belanja Modal Peralatan dan Mesin - Pengadaan Alat Komunikasi</t>
  </si>
  <si>
    <t>5.2.3.32.02</t>
  </si>
  <si>
    <t>Belanja Modal Peralatan dan Mesin - Pengadaan Alat Komunikasi Radio SSB</t>
  </si>
  <si>
    <t>5.2.3.74</t>
  </si>
  <si>
    <t>Belanja Modal Jalan, Irigasi dan Jaringan - Pengadaan Instalasi Gardu Listrik</t>
  </si>
  <si>
    <t>5.2.3.74.02</t>
  </si>
  <si>
    <t>Belanja Modal Jalan, Irigasi dan Jaringan - PengadaanInstalasi Gardu Listrik Distribusi</t>
  </si>
  <si>
    <t>5.2.3.82</t>
  </si>
  <si>
    <t>Belanja Modal Aset Tetap Lainnya - Pengadaan Buku</t>
  </si>
  <si>
    <t>5.2.3.82.01</t>
  </si>
  <si>
    <t>Belanja Modal Aset Tetap Lainnya - Pengadaan Buku Ilmu Pengetahuan Umum</t>
  </si>
  <si>
    <t>5.2.3.82.03</t>
  </si>
  <si>
    <t>Belanja Modal Aset Tetap Lainnya - Pengadaan Buku Keagamaan</t>
  </si>
  <si>
    <t>5.2.3.82.04</t>
  </si>
  <si>
    <t>Belanja Modal Aset Tetap Lainnya - Pengadaan Buku Ilmu Sosial</t>
  </si>
  <si>
    <t>5.2.3.82.09</t>
  </si>
  <si>
    <t>Belanja Modal Aset Tetap Lainnya - Pengadaan Buku Geografi, Biografi, Sejarah</t>
  </si>
  <si>
    <t>5.2.3.85</t>
  </si>
  <si>
    <t>Belanja Modal Aset Tetap Lainnya - Pengadaan Barang Bercorak Kebudayaan</t>
  </si>
  <si>
    <t>5.2.3.85.03</t>
  </si>
  <si>
    <t>Belanja Modal Aset Tetap Lainnya - Pengadaan Barang Bercorak Kebudayaan Alat Kesenian</t>
  </si>
  <si>
    <t xml:space="preserve">Jumlah Belanja </t>
  </si>
  <si>
    <t>Surplus / (Defisit)</t>
  </si>
  <si>
    <t>Sisa Lebih Pembiayaan Anggaran (SILPA)</t>
  </si>
  <si>
    <t>2017</t>
  </si>
  <si>
    <t>REALISASI 2016</t>
  </si>
  <si>
    <t xml:space="preserve">: SETDA </t>
  </si>
  <si>
    <t>SKPD : SETDA</t>
  </si>
  <si>
    <t>Reklas/Mutasi</t>
  </si>
  <si>
    <t xml:space="preserve">SEKRETARIAT DAERAH </t>
  </si>
  <si>
    <t>ASET TETAP 2017 ( SETDA )</t>
  </si>
  <si>
    <t>ASET TAK BERWUJUD 2017 ( SETDA )</t>
  </si>
  <si>
    <t>SETDA PROVINSI JAWA TENGAH</t>
  </si>
  <si>
    <t>LAPORAN PERUBAHAN EKUITAS SETDA PROVINSI JAWA TENGAH</t>
  </si>
  <si>
    <t>LAPORAN OPERASIONAL SETDA PROVINSI JAWA TENGAH</t>
  </si>
  <si>
    <t>Hasil Penjualan Aset Daerah yang Tidak Dipisahkan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</si>
</sst>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-* #,##0_-;\-* #,##0_-;_-* &quot;-&quot;_-;_-@_-"/>
    <numFmt numFmtId="166" formatCode="_-* #,##0.00_-;\-* #,##0.00_-;_-* &quot;-&quot;??_-;_-@_-"/>
    <numFmt numFmtId="167" formatCode="_-* #,##0_-;\-* #,##0_-;_-* &quot;-&quot;??_-;_-@_-"/>
    <numFmt numFmtId="168" formatCode="_(* #,##0.00_);_(* \(#,##0.00\);_(* &quot;-&quot;_);_(@_)"/>
    <numFmt numFmtId="169" formatCode="_(* #,##0_);_(* \(#,##0\);_(* &quot;-&quot;??_);_(@_)"/>
    <numFmt numFmtId="170" formatCode="_ * #,##0_ ;_ * \-#,##0_ ;_ * &quot;-&quot;_ ;_ @_ "/>
    <numFmt numFmtId="171" formatCode="_(* #,##0.0_);_(* \(#,##0.0\);_(* &quot;-&quot;_);_(@_)"/>
  </numFmts>
  <fonts count="137" x14ac:knownFonts="1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  <charset val="1"/>
    </font>
    <font>
      <b/>
      <sz val="16"/>
      <color indexed="8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  <charset val="1"/>
    </font>
    <font>
      <b/>
      <u/>
      <sz val="16"/>
      <color indexed="8"/>
      <name val="Calibri"/>
      <family val="2"/>
      <charset val="1"/>
    </font>
    <font>
      <sz val="14"/>
      <color indexed="8"/>
      <name val="Times New Roman"/>
      <family val="1"/>
    </font>
    <font>
      <b/>
      <sz val="10"/>
      <color indexed="8"/>
      <name val="Bookman Old Style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8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6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10"/>
      <name val="Arial Narrow"/>
      <family val="2"/>
    </font>
    <font>
      <sz val="10"/>
      <color indexed="8"/>
      <name val="Arial"/>
      <family val="2"/>
      <charset val="1"/>
    </font>
    <font>
      <b/>
      <sz val="14"/>
      <color indexed="8"/>
      <name val="Arial"/>
      <family val="2"/>
      <charset val="1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i/>
      <sz val="7"/>
      <color indexed="8"/>
      <name val="Arial"/>
      <family val="2"/>
      <charset val="1"/>
    </font>
    <font>
      <i/>
      <sz val="7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sz val="1"/>
      <color indexed="8"/>
      <name val="Arial"/>
      <family val="2"/>
    </font>
    <font>
      <b/>
      <sz val="9"/>
      <color indexed="8"/>
      <name val="Arial"/>
      <family val="2"/>
      <charset val="1"/>
    </font>
    <font>
      <b/>
      <sz val="10"/>
      <color indexed="8"/>
      <name val="Arial"/>
      <family val="2"/>
    </font>
    <font>
      <sz val="8"/>
      <color indexed="10"/>
      <name val="Arial Narrow"/>
      <family val="2"/>
    </font>
    <font>
      <b/>
      <sz val="7"/>
      <color indexed="8"/>
      <name val="Arial"/>
      <family val="2"/>
    </font>
    <font>
      <sz val="12"/>
      <color indexed="8"/>
      <name val="Arial Narrow"/>
      <family val="2"/>
    </font>
    <font>
      <sz val="20"/>
      <name val="Arial Narrow"/>
      <family val="2"/>
    </font>
    <font>
      <b/>
      <sz val="20"/>
      <color indexed="8"/>
      <name val="Times New Roman"/>
      <family val="1"/>
    </font>
    <font>
      <sz val="20"/>
      <color indexed="8"/>
      <name val="Calibri"/>
      <family val="2"/>
      <charset val="1"/>
    </font>
    <font>
      <b/>
      <sz val="20"/>
      <color indexed="8"/>
      <name val="Calibri"/>
      <family val="2"/>
      <charset val="1"/>
    </font>
    <font>
      <sz val="20"/>
      <color indexed="8"/>
      <name val="Times New Roman"/>
      <family val="1"/>
    </font>
    <font>
      <b/>
      <u/>
      <sz val="16"/>
      <color indexed="8"/>
      <name val="Times New Roman"/>
      <family val="1"/>
    </font>
    <font>
      <b/>
      <sz val="12"/>
      <color indexed="8"/>
      <name val="Arial Narrow"/>
      <family val="2"/>
    </font>
    <font>
      <b/>
      <u/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b/>
      <u/>
      <sz val="16"/>
      <color indexed="8"/>
      <name val="Arial Narrow"/>
      <family val="2"/>
    </font>
    <font>
      <b/>
      <sz val="1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charset val="1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8"/>
      <color rgb="FFFF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charset val="1"/>
      <scheme val="minor"/>
    </font>
    <font>
      <sz val="16"/>
      <color theme="1"/>
      <name val="Calibri"/>
      <family val="2"/>
      <charset val="1"/>
      <scheme val="minor"/>
    </font>
    <font>
      <b/>
      <sz val="10"/>
      <color rgb="FF000000"/>
      <name val="Bookman Old Style"/>
      <family val="1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7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Calibri"/>
      <family val="2"/>
      <charset val="1"/>
      <scheme val="minor"/>
    </font>
    <font>
      <sz val="20"/>
      <color theme="1"/>
      <name val="Bookman Old Style"/>
      <family val="1"/>
    </font>
    <font>
      <b/>
      <sz val="16"/>
      <color theme="1"/>
      <name val="Times New Roman"/>
      <family val="1"/>
    </font>
    <font>
      <b/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sz val="10"/>
      <color rgb="FFFF0000"/>
      <name val="Bookman Old Style"/>
      <family val="1"/>
    </font>
    <font>
      <b/>
      <sz val="11"/>
      <color indexed="8"/>
      <name val="Calibri"/>
      <family val="2"/>
      <scheme val="minor"/>
    </font>
    <font>
      <sz val="16"/>
      <color rgb="FFC00000"/>
      <name val="Arial"/>
      <family val="2"/>
    </font>
    <font>
      <sz val="16"/>
      <color rgb="FF002060"/>
      <name val="Arial"/>
      <family val="2"/>
    </font>
    <font>
      <b/>
      <sz val="16"/>
      <color rgb="FFC00000"/>
      <name val="Arial"/>
      <family val="2"/>
    </font>
    <font>
      <b/>
      <sz val="16"/>
      <color theme="1"/>
      <name val="Arial"/>
      <family val="2"/>
    </font>
    <font>
      <b/>
      <sz val="16"/>
      <color rgb="FF002060"/>
      <name val="Arial"/>
      <family val="2"/>
    </font>
    <font>
      <i/>
      <sz val="16"/>
      <color rgb="FF7030A0"/>
      <name val="Arial"/>
      <family val="2"/>
    </font>
    <font>
      <sz val="17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14"/>
      <color theme="1" tint="4.9989318521683403E-2"/>
      <name val="Arial"/>
      <family val="2"/>
    </font>
    <font>
      <b/>
      <u/>
      <sz val="16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8"/>
      <color theme="1"/>
      <name val="Tahoma"/>
      <family val="2"/>
    </font>
    <font>
      <i/>
      <sz val="7.5"/>
      <color theme="1"/>
      <name val="Tahoma"/>
      <family val="2"/>
    </font>
    <font>
      <b/>
      <sz val="11"/>
      <color theme="1"/>
      <name val="Tahoma"/>
      <family val="2"/>
    </font>
    <font>
      <sz val="10"/>
      <name val="Bookman Old Style"/>
      <family val="1"/>
      <charset val="1"/>
    </font>
    <font>
      <b/>
      <sz val="12"/>
      <name val="Arial Narrow"/>
      <family val="2"/>
      <charset val="1"/>
    </font>
    <font>
      <b/>
      <sz val="12"/>
      <name val="Bookman Old Style"/>
      <family val="1"/>
      <charset val="1"/>
    </font>
    <font>
      <b/>
      <u/>
      <sz val="12"/>
      <name val="Arial Narrow"/>
      <family val="2"/>
      <charset val="1"/>
    </font>
    <font>
      <sz val="12"/>
      <name val="Arial Narrow"/>
      <family val="2"/>
      <charset val="1"/>
    </font>
    <font>
      <sz val="18"/>
      <color theme="1"/>
      <name val="Calibri"/>
      <family val="2"/>
      <charset val="1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0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8">
    <xf numFmtId="0" fontId="0" fillId="0" borderId="0"/>
    <xf numFmtId="43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" fillId="0" borderId="0" applyFill="0" applyBorder="0" applyAlignment="0" applyProtection="0"/>
    <xf numFmtId="165" fontId="2" fillId="0" borderId="0" applyFont="0" applyFill="0" applyBorder="0" applyAlignment="0" applyProtection="0"/>
    <xf numFmtId="41" fontId="39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77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1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7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8" fillId="0" borderId="0" applyFont="0" applyFill="0" applyBorder="0" applyAlignment="0" applyProtection="0">
      <alignment vertical="center"/>
    </xf>
    <xf numFmtId="0" fontId="3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2" fillId="0" borderId="0"/>
    <xf numFmtId="0" fontId="7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40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>
      <alignment vertical="center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>
      <alignment vertical="top"/>
    </xf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>
      <alignment vertical="center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31" fillId="0" borderId="0">
      <alignment vertical="top"/>
    </xf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31" fillId="0" borderId="0">
      <alignment vertical="top"/>
    </xf>
    <xf numFmtId="0" fontId="1" fillId="0" borderId="0"/>
    <xf numFmtId="0" fontId="1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41" fillId="5" borderId="0">
      <alignment horizontal="left" vertical="top"/>
    </xf>
    <xf numFmtId="0" fontId="31" fillId="3" borderId="0">
      <alignment horizontal="left" vertical="top"/>
    </xf>
    <xf numFmtId="0" fontId="31" fillId="3" borderId="0">
      <alignment horizontal="left" vertical="top"/>
    </xf>
    <xf numFmtId="0" fontId="42" fillId="5" borderId="0">
      <alignment horizontal="center" vertical="top"/>
    </xf>
    <xf numFmtId="0" fontId="43" fillId="3" borderId="0">
      <alignment horizontal="center" vertical="top"/>
    </xf>
    <xf numFmtId="0" fontId="15" fillId="3" borderId="0">
      <alignment horizontal="center" vertical="top"/>
    </xf>
    <xf numFmtId="0" fontId="44" fillId="3" borderId="0">
      <alignment horizontal="left" vertical="top"/>
    </xf>
    <xf numFmtId="0" fontId="15" fillId="3" borderId="0">
      <alignment horizontal="center" vertical="top"/>
    </xf>
    <xf numFmtId="0" fontId="27" fillId="3" borderId="0">
      <alignment horizontal="right" vertical="top"/>
    </xf>
    <xf numFmtId="0" fontId="45" fillId="2" borderId="0">
      <alignment horizontal="center" vertical="center"/>
    </xf>
    <xf numFmtId="0" fontId="46" fillId="3" borderId="0">
      <alignment horizontal="left" vertical="top"/>
    </xf>
    <xf numFmtId="0" fontId="27" fillId="3" borderId="0">
      <alignment horizontal="right" vertical="top"/>
    </xf>
    <xf numFmtId="0" fontId="47" fillId="5" borderId="0">
      <alignment horizontal="left" vertical="top"/>
    </xf>
    <xf numFmtId="0" fontId="48" fillId="3" borderId="0">
      <alignment horizontal="left" vertical="top"/>
    </xf>
    <xf numFmtId="0" fontId="49" fillId="3" borderId="0">
      <alignment horizontal="center" vertical="top"/>
    </xf>
    <xf numFmtId="0" fontId="50" fillId="3" borderId="0">
      <alignment horizontal="right" vertical="top"/>
    </xf>
    <xf numFmtId="0" fontId="51" fillId="5" borderId="0">
      <alignment horizontal="left" vertical="top"/>
    </xf>
    <xf numFmtId="0" fontId="49" fillId="3" borderId="0">
      <alignment horizontal="center" vertical="top"/>
    </xf>
    <xf numFmtId="0" fontId="45" fillId="3" borderId="0">
      <alignment horizontal="right" vertical="top"/>
    </xf>
    <xf numFmtId="0" fontId="49" fillId="3" borderId="0">
      <alignment horizontal="left" vertical="top"/>
    </xf>
    <xf numFmtId="0" fontId="50" fillId="3" borderId="0">
      <alignment horizontal="right" vertical="top"/>
    </xf>
    <xf numFmtId="0" fontId="27" fillId="5" borderId="0">
      <alignment horizontal="right" vertical="top"/>
    </xf>
    <xf numFmtId="0" fontId="27" fillId="3" borderId="0">
      <alignment horizontal="left" vertical="top"/>
    </xf>
    <xf numFmtId="0" fontId="45" fillId="3" borderId="0">
      <alignment horizontal="left" vertical="top"/>
    </xf>
    <xf numFmtId="0" fontId="49" fillId="3" borderId="0">
      <alignment horizontal="right" vertical="top"/>
    </xf>
    <xf numFmtId="0" fontId="50" fillId="3" borderId="0">
      <alignment horizontal="left" vertical="top"/>
    </xf>
    <xf numFmtId="0" fontId="49" fillId="5" borderId="0">
      <alignment horizontal="right" vertical="top"/>
    </xf>
    <xf numFmtId="0" fontId="27" fillId="3" borderId="0">
      <alignment horizontal="right" vertical="top"/>
    </xf>
    <xf numFmtId="0" fontId="50" fillId="3" borderId="0">
      <alignment horizontal="center" vertical="top"/>
    </xf>
    <xf numFmtId="0" fontId="49" fillId="5" borderId="0">
      <alignment horizontal="right" vertical="top"/>
    </xf>
    <xf numFmtId="0" fontId="49" fillId="3" borderId="0">
      <alignment horizontal="right" vertical="top"/>
    </xf>
    <xf numFmtId="0" fontId="27" fillId="3" borderId="0">
      <alignment horizontal="center" vertical="top"/>
    </xf>
    <xf numFmtId="0" fontId="46" fillId="3" borderId="0">
      <alignment horizontal="right" vertical="top"/>
    </xf>
    <xf numFmtId="0" fontId="27" fillId="5" borderId="0">
      <alignment horizontal="center" vertical="top"/>
    </xf>
    <xf numFmtId="0" fontId="49" fillId="3" borderId="0">
      <alignment horizontal="right" vertical="top"/>
    </xf>
    <xf numFmtId="0" fontId="27" fillId="3" borderId="0">
      <alignment horizontal="left" vertical="top"/>
    </xf>
    <xf numFmtId="0" fontId="46" fillId="3" borderId="0">
      <alignment horizontal="left" vertical="top"/>
    </xf>
    <xf numFmtId="0" fontId="49" fillId="5" borderId="0">
      <alignment horizontal="right" vertical="top"/>
    </xf>
    <xf numFmtId="0" fontId="27" fillId="3" borderId="0">
      <alignment horizontal="center" vertical="top"/>
    </xf>
    <xf numFmtId="0" fontId="48" fillId="3" borderId="0">
      <alignment horizontal="left" vertical="top"/>
    </xf>
    <xf numFmtId="0" fontId="49" fillId="5" borderId="0">
      <alignment horizontal="left"/>
    </xf>
    <xf numFmtId="0" fontId="49" fillId="3" borderId="0">
      <alignment horizontal="right" vertical="top"/>
    </xf>
    <xf numFmtId="0" fontId="27" fillId="3" borderId="0">
      <alignment horizontal="left" vertical="top"/>
    </xf>
    <xf numFmtId="0" fontId="50" fillId="3" borderId="0">
      <alignment horizontal="left" vertical="top"/>
    </xf>
    <xf numFmtId="0" fontId="49" fillId="5" borderId="0">
      <alignment horizontal="right"/>
    </xf>
    <xf numFmtId="0" fontId="49" fillId="3" borderId="0">
      <alignment horizontal="left" vertical="top"/>
    </xf>
    <xf numFmtId="0" fontId="50" fillId="3" borderId="0">
      <alignment horizontal="right" vertical="top"/>
    </xf>
    <xf numFmtId="0" fontId="52" fillId="5" borderId="0">
      <alignment horizontal="center" vertical="top"/>
    </xf>
    <xf numFmtId="0" fontId="34" fillId="3" borderId="0">
      <alignment horizontal="center" vertical="top"/>
    </xf>
    <xf numFmtId="0" fontId="44" fillId="3" borderId="0">
      <alignment horizontal="center" vertical="top"/>
    </xf>
    <xf numFmtId="0" fontId="34" fillId="3" borderId="0">
      <alignment horizontal="center" vertical="top"/>
    </xf>
    <xf numFmtId="0" fontId="27" fillId="5" borderId="0">
      <alignment horizontal="center"/>
    </xf>
    <xf numFmtId="0" fontId="27" fillId="3" borderId="0">
      <alignment horizontal="left" vertical="top"/>
    </xf>
    <xf numFmtId="0" fontId="49" fillId="3" borderId="0">
      <alignment horizontal="left" vertical="top"/>
    </xf>
    <xf numFmtId="0" fontId="49" fillId="3" borderId="0">
      <alignment horizontal="right" vertical="top"/>
    </xf>
    <xf numFmtId="0" fontId="49" fillId="5" borderId="0">
      <alignment horizontal="center" vertical="top"/>
    </xf>
    <xf numFmtId="0" fontId="49" fillId="3" borderId="0">
      <alignment horizontal="right" vertical="top"/>
    </xf>
    <xf numFmtId="0" fontId="49" fillId="3" borderId="0">
      <alignment horizontal="left" vertical="center"/>
    </xf>
    <xf numFmtId="0" fontId="53" fillId="5" borderId="0">
      <alignment horizontal="right" vertical="top"/>
    </xf>
    <xf numFmtId="0" fontId="49" fillId="3" borderId="0">
      <alignment horizontal="center" vertical="top"/>
    </xf>
    <xf numFmtId="0" fontId="49" fillId="3" borderId="0">
      <alignment horizontal="left" vertical="center"/>
    </xf>
    <xf numFmtId="0" fontId="27" fillId="3" borderId="0">
      <alignment horizontal="right" vertical="top"/>
    </xf>
    <xf numFmtId="0" fontId="49" fillId="5" borderId="0">
      <alignment horizontal="right" vertical="top"/>
    </xf>
    <xf numFmtId="0" fontId="27" fillId="3" borderId="0">
      <alignment horizontal="right" vertical="top"/>
    </xf>
    <xf numFmtId="0" fontId="27" fillId="3" borderId="0">
      <alignment horizontal="center" vertical="top"/>
    </xf>
    <xf numFmtId="0" fontId="49" fillId="5" borderId="0">
      <alignment horizontal="center" vertical="top"/>
    </xf>
    <xf numFmtId="0" fontId="27" fillId="3" borderId="0">
      <alignment horizontal="center" vertical="top"/>
    </xf>
    <xf numFmtId="0" fontId="49" fillId="3" borderId="0">
      <alignment horizontal="left" vertical="top"/>
    </xf>
    <xf numFmtId="0" fontId="53" fillId="5" borderId="0">
      <alignment horizontal="center" vertical="top"/>
    </xf>
    <xf numFmtId="0" fontId="49" fillId="3" borderId="0">
      <alignment horizontal="left" vertical="top"/>
    </xf>
    <xf numFmtId="0" fontId="49" fillId="3" borderId="0">
      <alignment horizontal="left" vertical="top"/>
    </xf>
    <xf numFmtId="0" fontId="49" fillId="3" borderId="0">
      <alignment horizontal="center" vertical="top"/>
    </xf>
    <xf numFmtId="0" fontId="50" fillId="3" borderId="0">
      <alignment horizontal="right" vertical="top"/>
    </xf>
    <xf numFmtId="0" fontId="49" fillId="3" borderId="0">
      <alignment horizontal="center" vertical="top"/>
    </xf>
    <xf numFmtId="0" fontId="50" fillId="3" borderId="0">
      <alignment horizontal="right" vertical="top"/>
    </xf>
    <xf numFmtId="0" fontId="49" fillId="3" borderId="0">
      <alignment horizontal="center" vertical="top"/>
    </xf>
    <xf numFmtId="0" fontId="49" fillId="3" borderId="0">
      <alignment horizontal="left"/>
    </xf>
    <xf numFmtId="0" fontId="50" fillId="3" borderId="0">
      <alignment horizontal="right" vertical="top"/>
    </xf>
    <xf numFmtId="0" fontId="49" fillId="3" borderId="0">
      <alignment horizontal="left"/>
    </xf>
    <xf numFmtId="0" fontId="49" fillId="3" borderId="0">
      <alignment horizontal="right"/>
    </xf>
    <xf numFmtId="0" fontId="54" fillId="5" borderId="0">
      <alignment horizontal="center" vertical="center"/>
    </xf>
    <xf numFmtId="0" fontId="37" fillId="3" borderId="0">
      <alignment horizontal="center" vertical="top"/>
    </xf>
    <xf numFmtId="0" fontId="46" fillId="3" borderId="0">
      <alignment horizontal="center" vertical="center"/>
    </xf>
    <xf numFmtId="0" fontId="55" fillId="3" borderId="0">
      <alignment horizontal="left" vertical="top"/>
    </xf>
    <xf numFmtId="0" fontId="50" fillId="3" borderId="0">
      <alignment horizontal="left" vertical="center"/>
    </xf>
    <xf numFmtId="0" fontId="49" fillId="3" borderId="0">
      <alignment horizontal="right"/>
    </xf>
    <xf numFmtId="0" fontId="27" fillId="3" borderId="0">
      <alignment horizontal="right"/>
    </xf>
    <xf numFmtId="0" fontId="27" fillId="3" borderId="0">
      <alignment horizontal="right"/>
    </xf>
    <xf numFmtId="0" fontId="49" fillId="3" borderId="0">
      <alignment horizontal="right" vertical="top"/>
    </xf>
    <xf numFmtId="0" fontId="49" fillId="3" borderId="0">
      <alignment horizontal="right" vertical="top"/>
    </xf>
    <xf numFmtId="0" fontId="27" fillId="3" borderId="0">
      <alignment horizontal="center" vertical="top"/>
    </xf>
    <xf numFmtId="0" fontId="27" fillId="3" borderId="0">
      <alignment horizontal="right" vertical="top"/>
    </xf>
    <xf numFmtId="0" fontId="27" fillId="3" borderId="0">
      <alignment horizontal="center" vertical="top"/>
    </xf>
    <xf numFmtId="0" fontId="27" fillId="6" borderId="0">
      <alignment horizontal="left" vertical="top"/>
    </xf>
    <xf numFmtId="0" fontId="49" fillId="3" borderId="0">
      <alignment horizontal="right" vertical="top"/>
    </xf>
    <xf numFmtId="0" fontId="27" fillId="6" borderId="0">
      <alignment horizontal="left" vertical="top"/>
    </xf>
    <xf numFmtId="0" fontId="49" fillId="3" borderId="0">
      <alignment horizontal="right" vertical="top"/>
    </xf>
    <xf numFmtId="0" fontId="27" fillId="6" borderId="0">
      <alignment horizontal="center" vertical="top"/>
    </xf>
    <xf numFmtId="0" fontId="27" fillId="3" borderId="0">
      <alignment horizontal="left" vertical="top"/>
    </xf>
    <xf numFmtId="0" fontId="27" fillId="6" borderId="0">
      <alignment horizontal="center" vertical="top"/>
    </xf>
    <xf numFmtId="0" fontId="27" fillId="3" borderId="0">
      <alignment horizontal="left" vertical="top"/>
    </xf>
    <xf numFmtId="0" fontId="27" fillId="3" borderId="0">
      <alignment horizontal="right" vertical="top"/>
    </xf>
    <xf numFmtId="0" fontId="27" fillId="6" borderId="0">
      <alignment horizontal="center" vertical="top"/>
    </xf>
    <xf numFmtId="0" fontId="27" fillId="3" borderId="0">
      <alignment horizontal="right" vertical="top"/>
    </xf>
    <xf numFmtId="0" fontId="27" fillId="6" borderId="0">
      <alignment horizontal="right" vertical="top"/>
    </xf>
    <xf numFmtId="0" fontId="49" fillId="3" borderId="0">
      <alignment horizontal="center" vertical="top"/>
    </xf>
    <xf numFmtId="0" fontId="27" fillId="6" borderId="0">
      <alignment horizontal="right" vertical="top"/>
    </xf>
    <xf numFmtId="0" fontId="49" fillId="3" borderId="0">
      <alignment horizontal="center" vertical="top"/>
    </xf>
    <xf numFmtId="0" fontId="27" fillId="6" borderId="0">
      <alignment horizontal="right" vertical="top"/>
    </xf>
    <xf numFmtId="0" fontId="49" fillId="3" borderId="0">
      <alignment horizontal="center" vertical="top"/>
    </xf>
    <xf numFmtId="0" fontId="27" fillId="3" borderId="0">
      <alignment horizontal="center" vertical="top"/>
    </xf>
    <xf numFmtId="0" fontId="49" fillId="3" borderId="0">
      <alignment horizontal="left" vertical="top"/>
    </xf>
    <xf numFmtId="0" fontId="27" fillId="3" borderId="0">
      <alignment horizontal="center" vertical="top"/>
    </xf>
    <xf numFmtId="0" fontId="49" fillId="3" borderId="0">
      <alignment horizontal="left" vertical="top"/>
    </xf>
    <xf numFmtId="0" fontId="49" fillId="3" borderId="0">
      <alignment horizontal="right" vertical="top"/>
    </xf>
    <xf numFmtId="0" fontId="27" fillId="3" borderId="0">
      <alignment horizontal="right" vertical="top"/>
    </xf>
    <xf numFmtId="0" fontId="56" fillId="7" borderId="0">
      <alignment horizontal="center" vertical="center"/>
    </xf>
    <xf numFmtId="0" fontId="57" fillId="3" borderId="0">
      <alignment horizontal="center" vertical="top"/>
    </xf>
    <xf numFmtId="0" fontId="44" fillId="4" borderId="0">
      <alignment horizontal="center" vertical="center"/>
    </xf>
    <xf numFmtId="0" fontId="45" fillId="4" borderId="0">
      <alignment horizontal="center" vertical="center"/>
    </xf>
    <xf numFmtId="0" fontId="44" fillId="4" borderId="0">
      <alignment horizontal="center" vertical="center"/>
    </xf>
    <xf numFmtId="0" fontId="27" fillId="3" borderId="0">
      <alignment horizontal="center" vertical="top"/>
    </xf>
    <xf numFmtId="0" fontId="27" fillId="3" borderId="0">
      <alignment horizontal="right" vertical="top"/>
    </xf>
    <xf numFmtId="0" fontId="27" fillId="3" borderId="0">
      <alignment horizontal="left" vertical="top"/>
    </xf>
    <xf numFmtId="0" fontId="49" fillId="3" borderId="0">
      <alignment horizontal="right" vertical="top"/>
    </xf>
    <xf numFmtId="0" fontId="27" fillId="3" borderId="0">
      <alignment horizontal="right" vertical="top"/>
    </xf>
    <xf numFmtId="0" fontId="27" fillId="3" borderId="0">
      <alignment horizontal="left" vertical="top"/>
    </xf>
    <xf numFmtId="0" fontId="58" fillId="6" borderId="0">
      <alignment horizontal="right" vertical="top"/>
    </xf>
    <xf numFmtId="0" fontId="58" fillId="6" borderId="0">
      <alignment horizontal="right" vertical="top"/>
    </xf>
    <xf numFmtId="0" fontId="49" fillId="3" borderId="0">
      <alignment horizontal="center" vertical="top"/>
    </xf>
    <xf numFmtId="0" fontId="49" fillId="3" borderId="0">
      <alignment horizontal="center" vertical="top"/>
    </xf>
    <xf numFmtId="0" fontId="49" fillId="3" borderId="0">
      <alignment horizontal="center" vertical="top"/>
    </xf>
    <xf numFmtId="0" fontId="49" fillId="3" borderId="0">
      <alignment horizontal="left" vertical="top"/>
    </xf>
    <xf numFmtId="0" fontId="49" fillId="3" borderId="0">
      <alignment horizontal="left" vertical="top"/>
    </xf>
    <xf numFmtId="0" fontId="27" fillId="3" borderId="0">
      <alignment horizontal="right" vertical="top"/>
    </xf>
    <xf numFmtId="0" fontId="27" fillId="3" borderId="0">
      <alignment horizontal="right" vertical="top"/>
    </xf>
    <xf numFmtId="0" fontId="53" fillId="8" borderId="0">
      <alignment horizontal="center" vertical="top"/>
    </xf>
    <xf numFmtId="0" fontId="49" fillId="3" borderId="0">
      <alignment horizontal="left" vertical="top"/>
    </xf>
    <xf numFmtId="0" fontId="50" fillId="2" borderId="0">
      <alignment horizontal="center" vertical="top"/>
    </xf>
    <xf numFmtId="0" fontId="49" fillId="2" borderId="0">
      <alignment horizontal="center" vertical="top"/>
    </xf>
    <xf numFmtId="0" fontId="50" fillId="2" borderId="0">
      <alignment horizontal="center" vertical="top"/>
    </xf>
    <xf numFmtId="0" fontId="53" fillId="5" borderId="0">
      <alignment horizontal="center" vertical="top"/>
    </xf>
    <xf numFmtId="0" fontId="49" fillId="3" borderId="0">
      <alignment horizontal="right" vertical="top"/>
    </xf>
    <xf numFmtId="0" fontId="50" fillId="3" borderId="0">
      <alignment horizontal="center" vertical="top"/>
    </xf>
    <xf numFmtId="0" fontId="45" fillId="2" borderId="0">
      <alignment horizontal="center" vertical="center"/>
    </xf>
    <xf numFmtId="0" fontId="55" fillId="3" borderId="0">
      <alignment horizontal="left" vertical="top"/>
    </xf>
    <xf numFmtId="0" fontId="53" fillId="5" borderId="0">
      <alignment horizontal="left" vertical="top"/>
    </xf>
    <xf numFmtId="0" fontId="27" fillId="3" borderId="0">
      <alignment horizontal="center" vertical="top"/>
    </xf>
    <xf numFmtId="0" fontId="50" fillId="3" borderId="0">
      <alignment horizontal="left" vertical="top"/>
    </xf>
    <xf numFmtId="0" fontId="59" fillId="2" borderId="0">
      <alignment horizontal="center" vertical="center"/>
    </xf>
    <xf numFmtId="0" fontId="53" fillId="5" borderId="0">
      <alignment horizontal="right" vertical="top"/>
    </xf>
    <xf numFmtId="0" fontId="45" fillId="4" borderId="0">
      <alignment horizontal="center" vertical="center"/>
    </xf>
    <xf numFmtId="0" fontId="50" fillId="3" borderId="0">
      <alignment horizontal="right" vertical="top"/>
    </xf>
    <xf numFmtId="0" fontId="49" fillId="3" borderId="0">
      <alignment horizontal="left" vertical="top"/>
    </xf>
    <xf numFmtId="0" fontId="50" fillId="3" borderId="0">
      <alignment horizontal="left" vertical="top"/>
    </xf>
    <xf numFmtId="0" fontId="53" fillId="5" borderId="0">
      <alignment horizontal="right" vertical="top"/>
    </xf>
    <xf numFmtId="0" fontId="49" fillId="2" borderId="0">
      <alignment horizontal="center" vertical="top"/>
    </xf>
    <xf numFmtId="0" fontId="46" fillId="3" borderId="0">
      <alignment horizontal="right" vertical="top"/>
    </xf>
    <xf numFmtId="0" fontId="49" fillId="3" borderId="0">
      <alignment horizontal="right" vertical="top"/>
    </xf>
    <xf numFmtId="0" fontId="50" fillId="3" borderId="0">
      <alignment horizontal="right" vertical="top"/>
    </xf>
  </cellStyleXfs>
  <cellXfs count="849">
    <xf numFmtId="0" fontId="0" fillId="0" borderId="0" xfId="0"/>
    <xf numFmtId="0" fontId="78" fillId="0" borderId="0" xfId="0" applyFont="1"/>
    <xf numFmtId="0" fontId="78" fillId="0" borderId="0" xfId="0" applyFont="1" applyAlignment="1">
      <alignment horizontal="center"/>
    </xf>
    <xf numFmtId="41" fontId="75" fillId="0" borderId="0" xfId="2" applyFont="1"/>
    <xf numFmtId="0" fontId="7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8" fillId="0" borderId="1" xfId="0" applyFont="1" applyBorder="1" applyAlignment="1">
      <alignment horizontal="center"/>
    </xf>
    <xf numFmtId="0" fontId="78" fillId="0" borderId="1" xfId="0" applyFont="1" applyBorder="1"/>
    <xf numFmtId="41" fontId="78" fillId="0" borderId="1" xfId="2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1" fontId="75" fillId="0" borderId="1" xfId="2" applyFont="1" applyBorder="1"/>
    <xf numFmtId="0" fontId="0" fillId="0" borderId="1" xfId="0" applyBorder="1" applyAlignment="1">
      <alignment wrapText="1"/>
    </xf>
    <xf numFmtId="0" fontId="78" fillId="12" borderId="1" xfId="0" applyFont="1" applyFill="1" applyBorder="1" applyAlignment="1">
      <alignment horizontal="center" vertical="center"/>
    </xf>
    <xf numFmtId="41" fontId="78" fillId="12" borderId="1" xfId="2" applyFont="1" applyFill="1" applyBorder="1" applyAlignment="1">
      <alignment horizontal="center" vertical="center"/>
    </xf>
    <xf numFmtId="41" fontId="78" fillId="12" borderId="1" xfId="2" applyFont="1" applyFill="1" applyBorder="1" applyAlignment="1">
      <alignment horizontal="center" vertical="center" wrapText="1"/>
    </xf>
    <xf numFmtId="0" fontId="78" fillId="12" borderId="1" xfId="2" applyNumberFormat="1" applyFont="1" applyFill="1" applyBorder="1" applyAlignment="1">
      <alignment horizontal="center" vertical="center"/>
    </xf>
    <xf numFmtId="0" fontId="79" fillId="0" borderId="0" xfId="0" applyFont="1"/>
    <xf numFmtId="41" fontId="78" fillId="0" borderId="1" xfId="2" applyFont="1" applyBorder="1" applyAlignment="1">
      <alignment horizontal="center"/>
    </xf>
    <xf numFmtId="0" fontId="77" fillId="0" borderId="1" xfId="0" applyFont="1" applyBorder="1"/>
    <xf numFmtId="0" fontId="78" fillId="0" borderId="1" xfId="0" applyFont="1" applyFill="1" applyBorder="1" applyAlignment="1">
      <alignment horizontal="center" vertical="center"/>
    </xf>
    <xf numFmtId="0" fontId="78" fillId="0" borderId="1" xfId="2" applyNumberFormat="1" applyFont="1" applyFill="1" applyBorder="1" applyAlignment="1">
      <alignment horizontal="center" vertical="center"/>
    </xf>
    <xf numFmtId="0" fontId="78" fillId="0" borderId="1" xfId="2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7" fillId="0" borderId="1" xfId="0" applyFont="1" applyFill="1" applyBorder="1" applyAlignment="1">
      <alignment horizontal="left" vertical="center"/>
    </xf>
    <xf numFmtId="0" fontId="78" fillId="0" borderId="1" xfId="0" applyFont="1" applyFill="1" applyBorder="1" applyAlignment="1">
      <alignment horizontal="left" vertical="center"/>
    </xf>
    <xf numFmtId="41" fontId="78" fillId="0" borderId="1" xfId="2" applyFont="1" applyFill="1" applyBorder="1" applyAlignment="1">
      <alignment horizontal="center" vertical="center"/>
    </xf>
    <xf numFmtId="0" fontId="77" fillId="0" borderId="1" xfId="0" applyFont="1" applyBorder="1" applyAlignment="1">
      <alignment wrapText="1"/>
    </xf>
    <xf numFmtId="0" fontId="77" fillId="0" borderId="1" xfId="0" applyFont="1" applyBorder="1" applyAlignment="1">
      <alignment horizontal="center"/>
    </xf>
    <xf numFmtId="41" fontId="77" fillId="0" borderId="1" xfId="2" applyFont="1" applyBorder="1"/>
    <xf numFmtId="0" fontId="77" fillId="0" borderId="0" xfId="0" applyFont="1"/>
    <xf numFmtId="0" fontId="78" fillId="0" borderId="1" xfId="0" applyFont="1" applyBorder="1" applyAlignment="1">
      <alignment horizontal="left"/>
    </xf>
    <xf numFmtId="0" fontId="77" fillId="0" borderId="1" xfId="0" applyFont="1" applyBorder="1" applyAlignment="1">
      <alignment horizontal="left"/>
    </xf>
    <xf numFmtId="0" fontId="80" fillId="0" borderId="0" xfId="221" applyFont="1"/>
    <xf numFmtId="0" fontId="81" fillId="0" borderId="0" xfId="221" applyFont="1" applyAlignment="1">
      <alignment horizontal="center" vertical="top"/>
    </xf>
    <xf numFmtId="0" fontId="80" fillId="0" borderId="0" xfId="221" applyFont="1" applyAlignment="1">
      <alignment horizontal="center"/>
    </xf>
    <xf numFmtId="0" fontId="80" fillId="0" borderId="0" xfId="221" applyFont="1" applyAlignment="1">
      <alignment horizontal="right" vertical="top"/>
    </xf>
    <xf numFmtId="41" fontId="78" fillId="0" borderId="1" xfId="2" applyFont="1" applyFill="1" applyBorder="1" applyAlignment="1">
      <alignment horizontal="center" vertical="center" wrapText="1"/>
    </xf>
    <xf numFmtId="41" fontId="78" fillId="13" borderId="1" xfId="2" applyFont="1" applyFill="1" applyBorder="1" applyAlignment="1">
      <alignment horizontal="center" vertical="center" wrapText="1"/>
    </xf>
    <xf numFmtId="0" fontId="78" fillId="13" borderId="1" xfId="2" applyNumberFormat="1" applyFont="1" applyFill="1" applyBorder="1" applyAlignment="1">
      <alignment horizontal="center" vertical="center"/>
    </xf>
    <xf numFmtId="0" fontId="78" fillId="13" borderId="1" xfId="2" applyNumberFormat="1" applyFont="1" applyFill="1" applyBorder="1" applyAlignment="1">
      <alignment horizontal="center" vertical="center" wrapText="1"/>
    </xf>
    <xf numFmtId="41" fontId="78" fillId="0" borderId="0" xfId="0" applyNumberFormat="1" applyFont="1" applyFill="1" applyAlignment="1">
      <alignment horizontal="center" vertical="center"/>
    </xf>
    <xf numFmtId="0" fontId="78" fillId="0" borderId="1" xfId="0" applyFont="1" applyBorder="1" applyAlignment="1">
      <alignment wrapText="1"/>
    </xf>
    <xf numFmtId="41" fontId="77" fillId="0" borderId="1" xfId="2" applyFont="1" applyBorder="1" applyAlignment="1">
      <alignment horizontal="center"/>
    </xf>
    <xf numFmtId="0" fontId="77" fillId="0" borderId="0" xfId="0" applyFont="1" applyAlignment="1">
      <alignment horizontal="center"/>
    </xf>
    <xf numFmtId="0" fontId="0" fillId="0" borderId="0" xfId="0" applyAlignment="1"/>
    <xf numFmtId="0" fontId="0" fillId="9" borderId="0" xfId="0" applyFill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5" fillId="9" borderId="0" xfId="0" applyFont="1" applyFill="1"/>
    <xf numFmtId="0" fontId="4" fillId="0" borderId="0" xfId="0" applyFont="1" applyAlignment="1">
      <alignment horizontal="right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4" fontId="6" fillId="9" borderId="11" xfId="0" applyNumberFormat="1" applyFont="1" applyFill="1" applyBorder="1"/>
    <xf numFmtId="0" fontId="6" fillId="0" borderId="0" xfId="0" applyFont="1"/>
    <xf numFmtId="43" fontId="6" fillId="0" borderId="11" xfId="79" applyNumberFormat="1" applyFont="1" applyFill="1" applyBorder="1"/>
    <xf numFmtId="43" fontId="4" fillId="0" borderId="11" xfId="79" applyNumberFormat="1" applyFont="1" applyFill="1" applyBorder="1"/>
    <xf numFmtId="43" fontId="7" fillId="0" borderId="12" xfId="79" applyNumberFormat="1" applyFont="1" applyBorder="1" applyAlignment="1"/>
    <xf numFmtId="0" fontId="6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8" fillId="0" borderId="0" xfId="0" applyFont="1" applyBorder="1"/>
    <xf numFmtId="167" fontId="8" fillId="0" borderId="0" xfId="82" applyNumberFormat="1" applyFont="1"/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right"/>
    </xf>
    <xf numFmtId="167" fontId="8" fillId="0" borderId="0" xfId="82" quotePrefix="1" applyNumberFormat="1" applyFont="1"/>
    <xf numFmtId="0" fontId="9" fillId="0" borderId="0" xfId="0" applyFont="1"/>
    <xf numFmtId="0" fontId="10" fillId="9" borderId="0" xfId="0" applyFont="1" applyFill="1"/>
    <xf numFmtId="0" fontId="10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/>
    <xf numFmtId="0" fontId="12" fillId="0" borderId="0" xfId="0" applyFont="1"/>
    <xf numFmtId="41" fontId="77" fillId="0" borderId="1" xfId="2" applyFont="1" applyFill="1" applyBorder="1" applyAlignment="1">
      <alignment horizontal="center" vertical="center"/>
    </xf>
    <xf numFmtId="41" fontId="77" fillId="0" borderId="1" xfId="2" applyFont="1" applyFill="1" applyBorder="1" applyAlignment="1">
      <alignment horizontal="center" vertical="center" wrapText="1"/>
    </xf>
    <xf numFmtId="41" fontId="78" fillId="14" borderId="1" xfId="2" applyFont="1" applyFill="1" applyBorder="1" applyAlignment="1">
      <alignment horizontal="center" vertical="center"/>
    </xf>
    <xf numFmtId="41" fontId="78" fillId="14" borderId="1" xfId="2" applyFont="1" applyFill="1" applyBorder="1" applyAlignment="1">
      <alignment horizontal="center" vertical="center" wrapText="1"/>
    </xf>
    <xf numFmtId="0" fontId="78" fillId="14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6" fillId="0" borderId="11" xfId="0" applyNumberFormat="1" applyFont="1" applyFill="1" applyBorder="1"/>
    <xf numFmtId="43" fontId="4" fillId="0" borderId="13" xfId="79" applyNumberFormat="1" applyFont="1" applyFill="1" applyBorder="1"/>
    <xf numFmtId="43" fontId="4" fillId="0" borderId="7" xfId="79" applyNumberFormat="1" applyFont="1" applyFill="1" applyBorder="1"/>
    <xf numFmtId="43" fontId="6" fillId="0" borderId="7" xfId="79" applyNumberFormat="1" applyFont="1" applyFill="1" applyBorder="1"/>
    <xf numFmtId="43" fontId="4" fillId="0" borderId="11" xfId="79" applyNumberFormat="1" applyFont="1" applyFill="1" applyBorder="1" applyAlignment="1">
      <alignment horizontal="right"/>
    </xf>
    <xf numFmtId="43" fontId="6" fillId="0" borderId="14" xfId="79" applyNumberFormat="1" applyFont="1" applyFill="1" applyBorder="1"/>
    <xf numFmtId="41" fontId="80" fillId="0" borderId="0" xfId="221" applyNumberFormat="1" applyFont="1"/>
    <xf numFmtId="0" fontId="82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69" fontId="83" fillId="0" borderId="0" xfId="1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84" fillId="0" borderId="0" xfId="0" applyFont="1" applyAlignment="1">
      <alignment vertical="center"/>
    </xf>
    <xf numFmtId="169" fontId="84" fillId="0" borderId="0" xfId="1" applyNumberFormat="1" applyFont="1" applyAlignment="1">
      <alignment vertical="center"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85" fillId="16" borderId="15" xfId="0" applyFont="1" applyFill="1" applyBorder="1" applyAlignment="1">
      <alignment horizontal="center" vertical="center" wrapText="1"/>
    </xf>
    <xf numFmtId="0" fontId="85" fillId="16" borderId="1" xfId="0" applyNumberFormat="1" applyFont="1" applyFill="1" applyBorder="1" applyAlignment="1">
      <alignment horizontal="center" vertical="center"/>
    </xf>
    <xf numFmtId="0" fontId="86" fillId="16" borderId="1" xfId="0" applyNumberFormat="1" applyFont="1" applyFill="1" applyBorder="1" applyAlignment="1">
      <alignment horizontal="center" vertical="center"/>
    </xf>
    <xf numFmtId="0" fontId="85" fillId="0" borderId="0" xfId="0" applyNumberFormat="1" applyFont="1" applyFill="1" applyAlignment="1">
      <alignment vertical="center"/>
    </xf>
    <xf numFmtId="0" fontId="87" fillId="0" borderId="0" xfId="0" applyFont="1" applyAlignment="1">
      <alignment vertical="center"/>
    </xf>
    <xf numFmtId="43" fontId="16" fillId="0" borderId="11" xfId="1" applyNumberFormat="1" applyFont="1" applyFill="1" applyBorder="1" applyAlignment="1">
      <alignment horizontal="right" vertical="center"/>
    </xf>
    <xf numFmtId="43" fontId="17" fillId="0" borderId="11" xfId="1" applyNumberFormat="1" applyFont="1" applyFill="1" applyBorder="1" applyAlignment="1">
      <alignment horizontal="right" vertical="center"/>
    </xf>
    <xf numFmtId="168" fontId="16" fillId="0" borderId="11" xfId="2" applyNumberFormat="1" applyFont="1" applyFill="1" applyBorder="1" applyAlignment="1">
      <alignment horizontal="right" vertical="center"/>
    </xf>
    <xf numFmtId="41" fontId="16" fillId="0" borderId="11" xfId="2" applyNumberFormat="1" applyFont="1" applyFill="1" applyBorder="1" applyAlignment="1">
      <alignment horizontal="right" vertical="center"/>
    </xf>
    <xf numFmtId="0" fontId="88" fillId="0" borderId="0" xfId="0" applyFont="1" applyAlignment="1">
      <alignment vertical="center"/>
    </xf>
    <xf numFmtId="169" fontId="88" fillId="0" borderId="0" xfId="1" applyNumberFormat="1" applyFont="1" applyAlignment="1">
      <alignment vertical="center"/>
    </xf>
    <xf numFmtId="0" fontId="88" fillId="0" borderId="0" xfId="0" applyFont="1" applyFill="1" applyAlignment="1">
      <alignment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17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41" fontId="23" fillId="0" borderId="11" xfId="0" applyNumberFormat="1" applyFont="1" applyFill="1" applyBorder="1" applyAlignment="1">
      <alignment vertical="center"/>
    </xf>
    <xf numFmtId="168" fontId="23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41" fontId="23" fillId="0" borderId="11" xfId="3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1" fontId="23" fillId="0" borderId="11" xfId="3" applyNumberFormat="1" applyFont="1" applyFill="1" applyBorder="1" applyAlignment="1">
      <alignment horizontal="right" vertical="center"/>
    </xf>
    <xf numFmtId="168" fontId="23" fillId="0" borderId="11" xfId="3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vertical="center"/>
    </xf>
    <xf numFmtId="41" fontId="22" fillId="0" borderId="13" xfId="3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41" fontId="22" fillId="0" borderId="14" xfId="3" applyFont="1" applyFill="1" applyBorder="1" applyAlignment="1">
      <alignment vertical="center"/>
    </xf>
    <xf numFmtId="41" fontId="22" fillId="0" borderId="14" xfId="3" applyFont="1" applyBorder="1" applyAlignment="1">
      <alignment vertical="center"/>
    </xf>
    <xf numFmtId="168" fontId="22" fillId="0" borderId="14" xfId="3" applyNumberFormat="1" applyFont="1" applyBorder="1" applyAlignment="1">
      <alignment vertical="center"/>
    </xf>
    <xf numFmtId="41" fontId="23" fillId="0" borderId="1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17" borderId="1" xfId="0" applyFont="1" applyFill="1" applyBorder="1" applyAlignment="1">
      <alignment vertical="center"/>
    </xf>
    <xf numFmtId="0" fontId="23" fillId="17" borderId="1" xfId="0" applyFont="1" applyFill="1" applyBorder="1" applyAlignment="1">
      <alignment horizontal="center" vertical="center"/>
    </xf>
    <xf numFmtId="41" fontId="23" fillId="17" borderId="1" xfId="36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18" borderId="0" xfId="0" applyFont="1" applyFill="1" applyAlignment="1">
      <alignment vertical="center"/>
    </xf>
    <xf numFmtId="0" fontId="25" fillId="18" borderId="0" xfId="0" applyFont="1" applyFill="1" applyAlignment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/>
    </xf>
    <xf numFmtId="168" fontId="26" fillId="0" borderId="0" xfId="0" applyNumberFormat="1" applyFont="1" applyFill="1" applyAlignment="1">
      <alignment vertical="center"/>
    </xf>
    <xf numFmtId="41" fontId="91" fillId="0" borderId="0" xfId="2" applyFont="1"/>
    <xf numFmtId="41" fontId="78" fillId="0" borderId="1" xfId="2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/>
    <xf numFmtId="0" fontId="80" fillId="0" borderId="0" xfId="221" applyFont="1" applyAlignment="1">
      <alignment horizontal="left"/>
    </xf>
    <xf numFmtId="0" fontId="92" fillId="0" borderId="0" xfId="221" applyFont="1"/>
    <xf numFmtId="168" fontId="92" fillId="0" borderId="18" xfId="2" applyNumberFormat="1" applyFont="1" applyBorder="1" applyAlignment="1">
      <alignment vertical="top"/>
    </xf>
    <xf numFmtId="0" fontId="88" fillId="0" borderId="0" xfId="221" applyFont="1"/>
    <xf numFmtId="168" fontId="88" fillId="0" borderId="18" xfId="2" applyNumberFormat="1" applyFont="1" applyBorder="1" applyAlignment="1">
      <alignment vertical="top"/>
    </xf>
    <xf numFmtId="0" fontId="88" fillId="0" borderId="0" xfId="221" applyFont="1" applyAlignment="1">
      <alignment horizontal="center" vertical="center"/>
    </xf>
    <xf numFmtId="0" fontId="93" fillId="0" borderId="0" xfId="221" applyFont="1"/>
    <xf numFmtId="168" fontId="80" fillId="0" borderId="0" xfId="2" applyNumberFormat="1" applyFont="1"/>
    <xf numFmtId="168" fontId="92" fillId="0" borderId="19" xfId="221" applyNumberFormat="1" applyFont="1" applyBorder="1" applyAlignment="1">
      <alignment vertical="top"/>
    </xf>
    <xf numFmtId="0" fontId="92" fillId="0" borderId="20" xfId="221" applyFont="1" applyBorder="1" applyAlignment="1">
      <alignment horizontal="center" vertical="top" wrapText="1"/>
    </xf>
    <xf numFmtId="0" fontId="92" fillId="0" borderId="20" xfId="221" applyFont="1" applyBorder="1" applyAlignment="1">
      <alignment horizontal="left" vertical="top"/>
    </xf>
    <xf numFmtId="0" fontId="92" fillId="0" borderId="19" xfId="221" applyFont="1" applyBorder="1" applyAlignment="1">
      <alignment horizontal="center"/>
    </xf>
    <xf numFmtId="168" fontId="88" fillId="0" borderId="18" xfId="221" applyNumberFormat="1" applyFont="1" applyBorder="1" applyAlignment="1">
      <alignment vertical="top"/>
    </xf>
    <xf numFmtId="0" fontId="88" fillId="0" borderId="21" xfId="221" applyFont="1" applyBorder="1" applyAlignment="1">
      <alignment vertical="top" wrapText="1"/>
    </xf>
    <xf numFmtId="0" fontId="88" fillId="0" borderId="22" xfId="221" applyFont="1" applyBorder="1" applyAlignment="1">
      <alignment horizontal="left"/>
    </xf>
    <xf numFmtId="0" fontId="88" fillId="0" borderId="18" xfId="221" applyFont="1" applyBorder="1" applyAlignment="1">
      <alignment horizontal="center"/>
    </xf>
    <xf numFmtId="0" fontId="88" fillId="0" borderId="9" xfId="221" quotePrefix="1" applyFont="1" applyBorder="1" applyAlignment="1">
      <alignment horizontal="left" vertical="top"/>
    </xf>
    <xf numFmtId="0" fontId="88" fillId="0" borderId="9" xfId="221" applyFont="1" applyBorder="1" applyAlignment="1">
      <alignment horizontal="left" vertical="top"/>
    </xf>
    <xf numFmtId="0" fontId="88" fillId="0" borderId="21" xfId="221" applyFont="1" applyBorder="1" applyAlignment="1">
      <alignment horizontal="left" vertical="top"/>
    </xf>
    <xf numFmtId="168" fontId="88" fillId="0" borderId="0" xfId="2" applyNumberFormat="1" applyFont="1"/>
    <xf numFmtId="168" fontId="88" fillId="0" borderId="21" xfId="2" applyNumberFormat="1" applyFont="1" applyBorder="1" applyAlignment="1">
      <alignment vertical="top" wrapText="1"/>
    </xf>
    <xf numFmtId="0" fontId="88" fillId="0" borderId="9" xfId="2" applyNumberFormat="1" applyFont="1" applyBorder="1" applyAlignment="1">
      <alignment horizontal="left" vertical="top"/>
    </xf>
    <xf numFmtId="0" fontId="88" fillId="0" borderId="18" xfId="2" applyNumberFormat="1" applyFont="1" applyBorder="1" applyAlignment="1">
      <alignment horizontal="center"/>
    </xf>
    <xf numFmtId="0" fontId="88" fillId="0" borderId="21" xfId="2" applyNumberFormat="1" applyFont="1" applyBorder="1" applyAlignment="1">
      <alignment horizontal="left" vertical="top"/>
    </xf>
    <xf numFmtId="168" fontId="92" fillId="0" borderId="0" xfId="2" applyNumberFormat="1" applyFont="1"/>
    <xf numFmtId="168" fontId="92" fillId="0" borderId="21" xfId="2" applyNumberFormat="1" applyFont="1" applyBorder="1" applyAlignment="1">
      <alignment vertical="top" wrapText="1"/>
    </xf>
    <xf numFmtId="0" fontId="92" fillId="0" borderId="21" xfId="2" applyNumberFormat="1" applyFont="1" applyBorder="1" applyAlignment="1">
      <alignment horizontal="left" vertical="top"/>
    </xf>
    <xf numFmtId="0" fontId="92" fillId="0" borderId="18" xfId="2" applyNumberFormat="1" applyFont="1" applyBorder="1" applyAlignment="1">
      <alignment horizontal="center"/>
    </xf>
    <xf numFmtId="41" fontId="78" fillId="0" borderId="0" xfId="2" applyFont="1" applyAlignment="1">
      <alignment horizontal="center"/>
    </xf>
    <xf numFmtId="41" fontId="78" fillId="0" borderId="0" xfId="0" applyNumberFormat="1" applyFont="1" applyAlignment="1">
      <alignment horizontal="center"/>
    </xf>
    <xf numFmtId="41" fontId="77" fillId="0" borderId="0" xfId="2" applyFont="1" applyAlignment="1">
      <alignment horizontal="center"/>
    </xf>
    <xf numFmtId="41" fontId="2" fillId="0" borderId="0" xfId="2" applyFont="1" applyAlignment="1">
      <alignment vertical="center"/>
    </xf>
    <xf numFmtId="0" fontId="29" fillId="0" borderId="11" xfId="406" applyFont="1" applyFill="1" applyBorder="1" applyAlignment="1">
      <alignment horizontal="right" vertical="center"/>
    </xf>
    <xf numFmtId="41" fontId="29" fillId="0" borderId="11" xfId="143" applyNumberFormat="1" applyFont="1" applyFill="1" applyBorder="1" applyAlignment="1">
      <alignment vertical="center"/>
    </xf>
    <xf numFmtId="168" fontId="2" fillId="0" borderId="0" xfId="2" applyNumberFormat="1" applyFont="1" applyAlignment="1">
      <alignment vertical="center"/>
    </xf>
    <xf numFmtId="41" fontId="75" fillId="0" borderId="0" xfId="2" applyFont="1" applyAlignment="1">
      <alignment vertical="center"/>
    </xf>
    <xf numFmtId="168" fontId="30" fillId="0" borderId="11" xfId="0" applyNumberFormat="1" applyFont="1" applyFill="1" applyBorder="1" applyAlignment="1">
      <alignment vertical="center"/>
    </xf>
    <xf numFmtId="43" fontId="30" fillId="0" borderId="11" xfId="1" applyFont="1" applyFill="1" applyBorder="1" applyAlignment="1">
      <alignment horizontal="center" vertical="center"/>
    </xf>
    <xf numFmtId="41" fontId="94" fillId="0" borderId="0" xfId="2" applyFont="1"/>
    <xf numFmtId="41" fontId="78" fillId="19" borderId="1" xfId="2" applyFont="1" applyFill="1" applyBorder="1" applyAlignment="1">
      <alignment horizontal="center" vertical="center"/>
    </xf>
    <xf numFmtId="41" fontId="78" fillId="19" borderId="1" xfId="2" applyFont="1" applyFill="1" applyBorder="1" applyAlignment="1">
      <alignment horizontal="center" vertical="center" wrapText="1"/>
    </xf>
    <xf numFmtId="43" fontId="6" fillId="0" borderId="13" xfId="79" applyNumberFormat="1" applyFont="1" applyFill="1" applyBorder="1"/>
    <xf numFmtId="41" fontId="77" fillId="0" borderId="1" xfId="2" applyFont="1" applyBorder="1"/>
    <xf numFmtId="0" fontId="77" fillId="0" borderId="1" xfId="0" applyFont="1" applyBorder="1"/>
    <xf numFmtId="0" fontId="78" fillId="19" borderId="1" xfId="0" applyFont="1" applyFill="1" applyBorder="1" applyAlignment="1">
      <alignment horizontal="center"/>
    </xf>
    <xf numFmtId="0" fontId="78" fillId="19" borderId="1" xfId="0" applyFont="1" applyFill="1" applyBorder="1" applyAlignment="1">
      <alignment horizontal="left"/>
    </xf>
    <xf numFmtId="41" fontId="78" fillId="19" borderId="1" xfId="2" applyFont="1" applyFill="1" applyBorder="1" applyAlignment="1">
      <alignment horizontal="center"/>
    </xf>
    <xf numFmtId="0" fontId="77" fillId="19" borderId="1" xfId="0" applyFont="1" applyFill="1" applyBorder="1" applyAlignment="1">
      <alignment horizontal="left"/>
    </xf>
    <xf numFmtId="0" fontId="95" fillId="9" borderId="0" xfId="0" applyFont="1" applyFill="1"/>
    <xf numFmtId="0" fontId="95" fillId="0" borderId="0" xfId="0" applyFont="1"/>
    <xf numFmtId="0" fontId="79" fillId="9" borderId="0" xfId="0" applyFont="1" applyFill="1"/>
    <xf numFmtId="0" fontId="0" fillId="0" borderId="0" xfId="0" applyAlignment="1">
      <alignment horizontal="center"/>
    </xf>
    <xf numFmtId="0" fontId="77" fillId="0" borderId="1" xfId="0" applyFont="1" applyFill="1" applyBorder="1" applyAlignment="1">
      <alignment wrapText="1"/>
    </xf>
    <xf numFmtId="0" fontId="77" fillId="0" borderId="1" xfId="0" applyFont="1" applyBorder="1" applyAlignment="1">
      <alignment horizontal="center"/>
    </xf>
    <xf numFmtId="0" fontId="77" fillId="0" borderId="0" xfId="0" applyFont="1"/>
    <xf numFmtId="0" fontId="77" fillId="0" borderId="1" xfId="0" applyFont="1" applyBorder="1" applyAlignment="1">
      <alignment horizontal="left"/>
    </xf>
    <xf numFmtId="41" fontId="77" fillId="0" borderId="1" xfId="2" applyFont="1" applyBorder="1" applyAlignment="1">
      <alignment horizontal="center"/>
    </xf>
    <xf numFmtId="0" fontId="77" fillId="0" borderId="0" xfId="0" applyFont="1" applyAlignment="1">
      <alignment horizontal="center"/>
    </xf>
    <xf numFmtId="0" fontId="80" fillId="0" borderId="0" xfId="221" applyFont="1" applyFill="1" applyAlignment="1">
      <alignment wrapText="1"/>
    </xf>
    <xf numFmtId="0" fontId="80" fillId="0" borderId="0" xfId="221" applyFont="1" applyFill="1"/>
    <xf numFmtId="0" fontId="80" fillId="0" borderId="30" xfId="221" applyFont="1" applyFill="1" applyBorder="1" applyAlignment="1">
      <alignment horizontal="center"/>
    </xf>
    <xf numFmtId="0" fontId="80" fillId="0" borderId="31" xfId="221" applyFont="1" applyFill="1" applyBorder="1" applyAlignment="1">
      <alignment vertical="top"/>
    </xf>
    <xf numFmtId="0" fontId="80" fillId="0" borderId="32" xfId="221" applyFont="1" applyFill="1" applyBorder="1" applyAlignment="1">
      <alignment vertical="top" wrapText="1"/>
    </xf>
    <xf numFmtId="41" fontId="80" fillId="0" borderId="30" xfId="221" applyNumberFormat="1" applyFont="1" applyFill="1" applyBorder="1" applyAlignment="1">
      <alignment vertical="top" wrapText="1"/>
    </xf>
    <xf numFmtId="0" fontId="80" fillId="0" borderId="30" xfId="221" applyFont="1" applyFill="1" applyBorder="1" applyAlignment="1">
      <alignment vertical="top" wrapText="1"/>
    </xf>
    <xf numFmtId="168" fontId="80" fillId="0" borderId="30" xfId="221" applyNumberFormat="1" applyFont="1" applyFill="1" applyBorder="1" applyAlignment="1">
      <alignment vertical="top"/>
    </xf>
    <xf numFmtId="41" fontId="80" fillId="0" borderId="30" xfId="221" applyNumberFormat="1" applyFont="1" applyFill="1" applyBorder="1" applyAlignment="1">
      <alignment vertical="top"/>
    </xf>
    <xf numFmtId="43" fontId="80" fillId="0" borderId="30" xfId="1" applyFont="1" applyFill="1" applyBorder="1" applyAlignment="1">
      <alignment vertical="top"/>
    </xf>
    <xf numFmtId="41" fontId="80" fillId="0" borderId="32" xfId="221" applyNumberFormat="1" applyFont="1" applyFill="1" applyBorder="1" applyAlignment="1">
      <alignment vertical="top"/>
    </xf>
    <xf numFmtId="0" fontId="80" fillId="0" borderId="32" xfId="221" applyFont="1" applyFill="1" applyBorder="1" applyAlignment="1">
      <alignment vertical="top"/>
    </xf>
    <xf numFmtId="168" fontId="80" fillId="0" borderId="30" xfId="2" applyNumberFormat="1" applyFont="1" applyFill="1" applyBorder="1" applyAlignment="1">
      <alignment vertical="top"/>
    </xf>
    <xf numFmtId="0" fontId="78" fillId="0" borderId="1" xfId="0" applyFont="1" applyFill="1" applyBorder="1" applyAlignment="1">
      <alignment horizontal="left"/>
    </xf>
    <xf numFmtId="0" fontId="77" fillId="0" borderId="1" xfId="0" applyFont="1" applyFill="1" applyBorder="1" applyAlignment="1">
      <alignment horizontal="left"/>
    </xf>
    <xf numFmtId="0" fontId="0" fillId="0" borderId="1" xfId="0" quotePrefix="1" applyBorder="1" applyAlignment="1">
      <alignment wrapText="1"/>
    </xf>
    <xf numFmtId="41" fontId="97" fillId="19" borderId="1" xfId="2" applyFont="1" applyFill="1" applyBorder="1" applyAlignment="1">
      <alignment horizontal="center" vertical="center" wrapText="1"/>
    </xf>
    <xf numFmtId="0" fontId="78" fillId="19" borderId="1" xfId="2" applyNumberFormat="1" applyFont="1" applyFill="1" applyBorder="1" applyAlignment="1">
      <alignment horizontal="center" vertical="center" wrapText="1"/>
    </xf>
    <xf numFmtId="0" fontId="97" fillId="19" borderId="1" xfId="2" applyNumberFormat="1" applyFont="1" applyFill="1" applyBorder="1" applyAlignment="1">
      <alignment horizontal="center" vertical="center"/>
    </xf>
    <xf numFmtId="0" fontId="78" fillId="19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1" fontId="75" fillId="0" borderId="1" xfId="2" applyFont="1" applyFill="1" applyBorder="1"/>
    <xf numFmtId="0" fontId="0" fillId="0" borderId="0" xfId="0" applyFill="1"/>
    <xf numFmtId="41" fontId="75" fillId="0" borderId="0" xfId="2" applyFont="1" applyFill="1"/>
    <xf numFmtId="41" fontId="77" fillId="0" borderId="0" xfId="2" applyFont="1" applyFill="1"/>
    <xf numFmtId="41" fontId="98" fillId="0" borderId="1" xfId="2" applyFont="1" applyFill="1" applyBorder="1" applyAlignment="1">
      <alignment horizontal="center" vertical="center"/>
    </xf>
    <xf numFmtId="37" fontId="75" fillId="0" borderId="0" xfId="2" applyNumberFormat="1" applyFont="1" applyFill="1"/>
    <xf numFmtId="0" fontId="85" fillId="16" borderId="16" xfId="0" applyFont="1" applyFill="1" applyBorder="1" applyAlignment="1">
      <alignment horizontal="center" vertical="center" wrapText="1"/>
    </xf>
    <xf numFmtId="0" fontId="85" fillId="16" borderId="1" xfId="0" applyFont="1" applyFill="1" applyBorder="1" applyAlignment="1">
      <alignment horizontal="center" vertical="center" wrapText="1"/>
    </xf>
    <xf numFmtId="0" fontId="85" fillId="16" borderId="1" xfId="0" applyFont="1" applyFill="1" applyBorder="1" applyAlignment="1">
      <alignment horizontal="center" vertical="center"/>
    </xf>
    <xf numFmtId="0" fontId="85" fillId="16" borderId="3" xfId="0" applyFont="1" applyFill="1" applyBorder="1" applyAlignment="1">
      <alignment horizontal="center" vertical="center" wrapText="1"/>
    </xf>
    <xf numFmtId="0" fontId="99" fillId="16" borderId="34" xfId="0" applyNumberFormat="1" applyFont="1" applyFill="1" applyBorder="1" applyAlignment="1">
      <alignment horizontal="center" vertical="center"/>
    </xf>
    <xf numFmtId="0" fontId="86" fillId="16" borderId="34" xfId="1" applyNumberFormat="1" applyFont="1" applyFill="1" applyBorder="1" applyAlignment="1">
      <alignment horizontal="center" vertical="center"/>
    </xf>
    <xf numFmtId="0" fontId="15" fillId="16" borderId="34" xfId="0" applyNumberFormat="1" applyFont="1" applyFill="1" applyBorder="1" applyAlignment="1">
      <alignment horizontal="center" vertical="center" wrapText="1"/>
    </xf>
    <xf numFmtId="0" fontId="86" fillId="16" borderId="34" xfId="0" applyNumberFormat="1" applyFont="1" applyFill="1" applyBorder="1" applyAlignment="1">
      <alignment horizontal="center" vertical="center"/>
    </xf>
    <xf numFmtId="0" fontId="81" fillId="0" borderId="32" xfId="221" applyFont="1" applyFill="1" applyBorder="1" applyAlignment="1">
      <alignment vertical="top"/>
    </xf>
    <xf numFmtId="0" fontId="81" fillId="0" borderId="32" xfId="221" applyFont="1" applyFill="1" applyBorder="1" applyAlignment="1">
      <alignment vertical="top" wrapText="1"/>
    </xf>
    <xf numFmtId="0" fontId="81" fillId="0" borderId="30" xfId="221" applyFont="1" applyFill="1" applyBorder="1" applyAlignment="1">
      <alignment vertical="top" wrapText="1"/>
    </xf>
    <xf numFmtId="168" fontId="81" fillId="0" borderId="30" xfId="221" applyNumberFormat="1" applyFont="1" applyFill="1" applyBorder="1" applyAlignment="1">
      <alignment vertical="top"/>
    </xf>
    <xf numFmtId="41" fontId="81" fillId="0" borderId="30" xfId="221" applyNumberFormat="1" applyFont="1" applyFill="1" applyBorder="1" applyAlignment="1">
      <alignment vertical="top"/>
    </xf>
    <xf numFmtId="41" fontId="81" fillId="0" borderId="32" xfId="221" applyNumberFormat="1" applyFont="1" applyFill="1" applyBorder="1" applyAlignment="1">
      <alignment vertical="top"/>
    </xf>
    <xf numFmtId="0" fontId="81" fillId="0" borderId="0" xfId="221" applyFont="1" applyFill="1" applyAlignment="1">
      <alignment wrapText="1"/>
    </xf>
    <xf numFmtId="0" fontId="81" fillId="0" borderId="0" xfId="221" applyFont="1" applyFill="1"/>
    <xf numFmtId="0" fontId="80" fillId="0" borderId="31" xfId="221" applyFont="1" applyFill="1" applyBorder="1" applyAlignment="1">
      <alignment horizontal="center"/>
    </xf>
    <xf numFmtId="0" fontId="81" fillId="0" borderId="32" xfId="221" applyFont="1" applyFill="1" applyBorder="1" applyAlignment="1">
      <alignment horizontal="center" vertical="top" wrapText="1"/>
    </xf>
    <xf numFmtId="0" fontId="81" fillId="0" borderId="30" xfId="221" applyFont="1" applyFill="1" applyBorder="1" applyAlignment="1">
      <alignment horizontal="center"/>
    </xf>
    <xf numFmtId="0" fontId="81" fillId="0" borderId="31" xfId="221" applyFont="1" applyFill="1" applyBorder="1" applyAlignment="1">
      <alignment horizontal="left"/>
    </xf>
    <xf numFmtId="41" fontId="81" fillId="0" borderId="30" xfId="221" applyNumberFormat="1" applyFont="1" applyFill="1" applyBorder="1" applyAlignment="1">
      <alignment horizontal="center" vertical="top" wrapText="1"/>
    </xf>
    <xf numFmtId="0" fontId="81" fillId="0" borderId="30" xfId="22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0" xfId="0" applyFont="1" applyFill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0" xfId="0" applyFont="1" applyFill="1"/>
    <xf numFmtId="41" fontId="100" fillId="0" borderId="11" xfId="2" applyFont="1" applyFill="1" applyBorder="1"/>
    <xf numFmtId="43" fontId="4" fillId="0" borderId="0" xfId="0" applyNumberFormat="1" applyFont="1" applyFill="1"/>
    <xf numFmtId="41" fontId="4" fillId="0" borderId="0" xfId="0" applyNumberFormat="1" applyFont="1" applyFill="1"/>
    <xf numFmtId="41" fontId="4" fillId="0" borderId="0" xfId="2" applyFont="1" applyFill="1"/>
    <xf numFmtId="0" fontId="4" fillId="0" borderId="35" xfId="0" applyFont="1" applyFill="1" applyBorder="1"/>
    <xf numFmtId="0" fontId="4" fillId="0" borderId="36" xfId="0" applyFont="1" applyFill="1" applyBorder="1"/>
    <xf numFmtId="0" fontId="4" fillId="0" borderId="37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6" fillId="0" borderId="38" xfId="0" applyFont="1" applyFill="1" applyBorder="1"/>
    <xf numFmtId="0" fontId="6" fillId="0" borderId="39" xfId="0" applyFont="1" applyFill="1" applyBorder="1"/>
    <xf numFmtId="0" fontId="82" fillId="0" borderId="0" xfId="0" applyFont="1" applyFill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0" fontId="84" fillId="0" borderId="40" xfId="0" applyFont="1" applyBorder="1" applyAlignment="1">
      <alignment vertical="center"/>
    </xf>
    <xf numFmtId="0" fontId="84" fillId="0" borderId="40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vertical="center"/>
    </xf>
    <xf numFmtId="169" fontId="17" fillId="0" borderId="41" xfId="1" applyNumberFormat="1" applyFont="1" applyFill="1" applyBorder="1" applyAlignment="1">
      <alignment horizontal="center" vertical="center"/>
    </xf>
    <xf numFmtId="169" fontId="17" fillId="0" borderId="41" xfId="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68" fontId="16" fillId="0" borderId="11" xfId="2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43" fontId="17" fillId="0" borderId="11" xfId="1" applyNumberFormat="1" applyFont="1" applyFill="1" applyBorder="1" applyAlignment="1">
      <alignment horizontal="center" vertical="center"/>
    </xf>
    <xf numFmtId="168" fontId="17" fillId="0" borderId="11" xfId="2" applyNumberFormat="1" applyFont="1" applyFill="1" applyBorder="1" applyAlignment="1">
      <alignment horizontal="right" vertical="center"/>
    </xf>
    <xf numFmtId="41" fontId="35" fillId="0" borderId="11" xfId="2" applyFont="1" applyFill="1" applyBorder="1" applyAlignment="1">
      <alignment vertical="center"/>
    </xf>
    <xf numFmtId="43" fontId="16" fillId="0" borderId="11" xfId="1" applyNumberFormat="1" applyFont="1" applyFill="1" applyBorder="1" applyAlignment="1">
      <alignment horizontal="center" vertical="center"/>
    </xf>
    <xf numFmtId="41" fontId="35" fillId="0" borderId="14" xfId="2" applyFont="1" applyFill="1" applyBorder="1" applyAlignment="1">
      <alignment vertical="center"/>
    </xf>
    <xf numFmtId="43" fontId="16" fillId="0" borderId="14" xfId="1" applyNumberFormat="1" applyFont="1" applyFill="1" applyBorder="1" applyAlignment="1">
      <alignment horizontal="center" vertical="center"/>
    </xf>
    <xf numFmtId="43" fontId="17" fillId="0" borderId="14" xfId="1" applyNumberFormat="1" applyFont="1" applyFill="1" applyBorder="1" applyAlignment="1">
      <alignment horizontal="center" vertical="center"/>
    </xf>
    <xf numFmtId="43" fontId="17" fillId="0" borderId="14" xfId="1" applyNumberFormat="1" applyFont="1" applyFill="1" applyBorder="1" applyAlignment="1">
      <alignment horizontal="right" vertical="center"/>
    </xf>
    <xf numFmtId="0" fontId="101" fillId="16" borderId="1" xfId="0" applyFont="1" applyFill="1" applyBorder="1" applyAlignment="1">
      <alignment horizontal="center" vertical="center"/>
    </xf>
    <xf numFmtId="43" fontId="36" fillId="16" borderId="1" xfId="1" applyNumberFormat="1" applyFont="1" applyFill="1" applyBorder="1" applyAlignment="1">
      <alignment horizontal="center" vertical="center"/>
    </xf>
    <xf numFmtId="43" fontId="36" fillId="16" borderId="1" xfId="1" applyNumberFormat="1" applyFont="1" applyFill="1" applyBorder="1" applyAlignment="1">
      <alignment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101" fillId="16" borderId="1" xfId="0" applyFont="1" applyFill="1" applyBorder="1" applyAlignment="1">
      <alignment vertical="center"/>
    </xf>
    <xf numFmtId="0" fontId="101" fillId="0" borderId="0" xfId="0" applyFont="1" applyAlignment="1">
      <alignment vertical="center"/>
    </xf>
    <xf numFmtId="0" fontId="36" fillId="0" borderId="41" xfId="0" applyFont="1" applyFill="1" applyBorder="1" applyAlignment="1">
      <alignment horizontal="center" vertical="center"/>
    </xf>
    <xf numFmtId="41" fontId="36" fillId="0" borderId="11" xfId="2" applyFont="1" applyFill="1" applyBorder="1" applyAlignment="1">
      <alignment horizontal="center" vertical="center"/>
    </xf>
    <xf numFmtId="41" fontId="35" fillId="0" borderId="14" xfId="2" applyFont="1" applyFill="1" applyBorder="1" applyAlignment="1">
      <alignment horizontal="left" vertical="center"/>
    </xf>
    <xf numFmtId="0" fontId="35" fillId="0" borderId="13" xfId="0" applyFont="1" applyFill="1" applyBorder="1" applyAlignment="1">
      <alignment vertical="center"/>
    </xf>
    <xf numFmtId="43" fontId="17" fillId="0" borderId="13" xfId="1" applyNumberFormat="1" applyFont="1" applyFill="1" applyBorder="1" applyAlignment="1">
      <alignment horizontal="right" vertical="center"/>
    </xf>
    <xf numFmtId="41" fontId="35" fillId="0" borderId="13" xfId="2" applyFont="1" applyFill="1" applyBorder="1" applyAlignment="1">
      <alignment horizontal="left"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83" fillId="0" borderId="0" xfId="0" applyFont="1" applyFill="1" applyAlignment="1">
      <alignment horizontal="center" vertical="center"/>
    </xf>
    <xf numFmtId="41" fontId="35" fillId="0" borderId="11" xfId="2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41" fontId="35" fillId="0" borderId="14" xfId="2" applyFont="1" applyFill="1" applyBorder="1" applyAlignment="1">
      <alignment horizontal="center" vertical="center"/>
    </xf>
    <xf numFmtId="41" fontId="35" fillId="0" borderId="13" xfId="2" applyFont="1" applyFill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168" fontId="17" fillId="0" borderId="11" xfId="2" applyNumberFormat="1" applyFont="1" applyFill="1" applyBorder="1" applyAlignment="1">
      <alignment horizontal="center" vertical="center"/>
    </xf>
    <xf numFmtId="43" fontId="17" fillId="0" borderId="13" xfId="1" applyNumberFormat="1" applyFont="1" applyFill="1" applyBorder="1" applyAlignment="1">
      <alignment horizontal="center" vertical="center"/>
    </xf>
    <xf numFmtId="43" fontId="16" fillId="0" borderId="13" xfId="1" applyNumberFormat="1" applyFont="1" applyFill="1" applyBorder="1" applyAlignment="1">
      <alignment horizontal="center" vertical="center"/>
    </xf>
    <xf numFmtId="0" fontId="103" fillId="0" borderId="0" xfId="0" applyFont="1" applyFill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43" fontId="61" fillId="0" borderId="12" xfId="79" applyNumberFormat="1" applyFont="1" applyBorder="1" applyAlignment="1"/>
    <xf numFmtId="0" fontId="62" fillId="0" borderId="0" xfId="0" applyFont="1" applyAlignment="1"/>
    <xf numFmtId="0" fontId="63" fillId="0" borderId="0" xfId="0" applyFont="1"/>
    <xf numFmtId="0" fontId="62" fillId="0" borderId="0" xfId="0" applyFont="1" applyAlignment="1">
      <alignment horizontal="center"/>
    </xf>
    <xf numFmtId="0" fontId="62" fillId="0" borderId="0" xfId="0" applyFont="1"/>
    <xf numFmtId="0" fontId="64" fillId="9" borderId="0" xfId="0" applyFont="1" applyFill="1"/>
    <xf numFmtId="0" fontId="64" fillId="0" borderId="0" xfId="0" applyFont="1"/>
    <xf numFmtId="0" fontId="62" fillId="0" borderId="40" xfId="0" applyFont="1" applyBorder="1" applyAlignment="1"/>
    <xf numFmtId="0" fontId="65" fillId="0" borderId="0" xfId="0" applyFont="1"/>
    <xf numFmtId="0" fontId="104" fillId="9" borderId="0" xfId="0" applyFont="1" applyFill="1"/>
    <xf numFmtId="0" fontId="104" fillId="0" borderId="0" xfId="0" applyFont="1"/>
    <xf numFmtId="43" fontId="104" fillId="0" borderId="0" xfId="0" applyNumberFormat="1" applyFont="1"/>
    <xf numFmtId="0" fontId="105" fillId="0" borderId="0" xfId="221" applyFont="1"/>
    <xf numFmtId="41" fontId="77" fillId="0" borderId="1" xfId="2" applyFont="1" applyBorder="1" applyAlignment="1">
      <alignment horizontal="center"/>
    </xf>
    <xf numFmtId="41" fontId="22" fillId="0" borderId="11" xfId="3" applyFont="1" applyFill="1" applyBorder="1" applyAlignment="1">
      <alignment vertical="center"/>
    </xf>
    <xf numFmtId="168" fontId="22" fillId="0" borderId="11" xfId="3" applyNumberFormat="1" applyFont="1" applyFill="1" applyBorder="1" applyAlignment="1">
      <alignment vertical="center"/>
    </xf>
    <xf numFmtId="41" fontId="22" fillId="0" borderId="11" xfId="0" applyNumberFormat="1" applyFont="1" applyFill="1" applyBorder="1" applyAlignment="1">
      <alignment vertical="center"/>
    </xf>
    <xf numFmtId="41" fontId="22" fillId="0" borderId="11" xfId="51" applyFont="1" applyFill="1" applyBorder="1"/>
    <xf numFmtId="0" fontId="6" fillId="0" borderId="0" xfId="376" applyFont="1">
      <alignment vertical="top"/>
    </xf>
    <xf numFmtId="41" fontId="106" fillId="0" borderId="0" xfId="2" applyFont="1" applyFill="1"/>
    <xf numFmtId="0" fontId="67" fillId="0" borderId="0" xfId="376" applyFont="1">
      <alignment vertical="top"/>
    </xf>
    <xf numFmtId="41" fontId="107" fillId="0" borderId="0" xfId="2" applyFont="1" applyFill="1"/>
    <xf numFmtId="0" fontId="67" fillId="0" borderId="0" xfId="376" applyFont="1" applyAlignment="1">
      <alignment horizontal="center" vertical="top"/>
    </xf>
    <xf numFmtId="0" fontId="69" fillId="0" borderId="0" xfId="376" applyFont="1">
      <alignment vertical="top"/>
    </xf>
    <xf numFmtId="41" fontId="108" fillId="0" borderId="0" xfId="2" applyFont="1" applyFill="1"/>
    <xf numFmtId="0" fontId="25" fillId="0" borderId="0" xfId="0" applyFont="1" applyFill="1" applyBorder="1" applyAlignment="1">
      <alignment vertical="center"/>
    </xf>
    <xf numFmtId="0" fontId="6" fillId="0" borderId="0" xfId="376" applyFont="1" applyAlignment="1">
      <alignment horizontal="center" vertical="top"/>
    </xf>
    <xf numFmtId="0" fontId="66" fillId="0" borderId="0" xfId="376" applyFont="1" applyAlignment="1">
      <alignment horizontal="center" vertical="top"/>
    </xf>
    <xf numFmtId="168" fontId="109" fillId="0" borderId="0" xfId="2" applyNumberFormat="1" applyFont="1"/>
    <xf numFmtId="41" fontId="14" fillId="0" borderId="0" xfId="51" applyFont="1" applyFill="1" applyAlignment="1">
      <alignment horizontal="center"/>
    </xf>
    <xf numFmtId="41" fontId="2" fillId="0" borderId="0" xfId="51" applyFont="1" applyFill="1"/>
    <xf numFmtId="0" fontId="14" fillId="0" borderId="0" xfId="336" applyFont="1" applyFill="1" applyAlignment="1">
      <alignment horizontal="center"/>
    </xf>
    <xf numFmtId="41" fontId="23" fillId="0" borderId="0" xfId="51" applyFont="1" applyFill="1" applyAlignment="1">
      <alignment horizontal="center" vertical="center"/>
    </xf>
    <xf numFmtId="0" fontId="23" fillId="0" borderId="6" xfId="51" applyNumberFormat="1" applyFont="1" applyFill="1" applyBorder="1" applyAlignment="1">
      <alignment horizontal="center" vertical="center"/>
    </xf>
    <xf numFmtId="41" fontId="23" fillId="0" borderId="7" xfId="51" applyFont="1" applyFill="1" applyBorder="1"/>
    <xf numFmtId="41" fontId="23" fillId="0" borderId="0" xfId="51" applyFont="1" applyFill="1"/>
    <xf numFmtId="0" fontId="23" fillId="0" borderId="10" xfId="51" applyNumberFormat="1" applyFont="1" applyFill="1" applyBorder="1" applyAlignment="1">
      <alignment horizontal="center" vertical="center"/>
    </xf>
    <xf numFmtId="41" fontId="23" fillId="0" borderId="11" xfId="51" applyFont="1" applyFill="1" applyBorder="1"/>
    <xf numFmtId="168" fontId="23" fillId="0" borderId="11" xfId="51" applyNumberFormat="1" applyFont="1" applyFill="1" applyBorder="1"/>
    <xf numFmtId="168" fontId="23" fillId="0" borderId="11" xfId="51" quotePrefix="1" applyNumberFormat="1" applyFont="1" applyFill="1" applyBorder="1"/>
    <xf numFmtId="0" fontId="22" fillId="0" borderId="10" xfId="51" applyNumberFormat="1" applyFont="1" applyFill="1" applyBorder="1" applyAlignment="1">
      <alignment horizontal="center" vertical="center"/>
    </xf>
    <xf numFmtId="168" fontId="22" fillId="0" borderId="11" xfId="51" quotePrefix="1" applyNumberFormat="1" applyFont="1" applyFill="1" applyBorder="1"/>
    <xf numFmtId="41" fontId="22" fillId="0" borderId="0" xfId="51" applyFont="1" applyFill="1"/>
    <xf numFmtId="168" fontId="22" fillId="0" borderId="11" xfId="51" applyNumberFormat="1" applyFont="1" applyFill="1" applyBorder="1"/>
    <xf numFmtId="41" fontId="23" fillId="0" borderId="11" xfId="51" applyFont="1" applyFill="1" applyBorder="1" applyAlignment="1">
      <alignment wrapText="1"/>
    </xf>
    <xf numFmtId="41" fontId="23" fillId="0" borderId="11" xfId="51" applyFont="1" applyFill="1" applyBorder="1" applyAlignment="1">
      <alignment horizontal="left"/>
    </xf>
    <xf numFmtId="0" fontId="23" fillId="0" borderId="45" xfId="51" applyNumberFormat="1" applyFont="1" applyFill="1" applyBorder="1" applyAlignment="1">
      <alignment horizontal="center" vertical="center"/>
    </xf>
    <xf numFmtId="41" fontId="23" fillId="0" borderId="46" xfId="51" applyFont="1" applyFill="1" applyBorder="1"/>
    <xf numFmtId="168" fontId="23" fillId="0" borderId="46" xfId="51" applyNumberFormat="1" applyFont="1" applyFill="1" applyBorder="1"/>
    <xf numFmtId="0" fontId="69" fillId="0" borderId="0" xfId="376" applyFont="1" applyAlignment="1">
      <alignment horizontal="center" vertical="top"/>
    </xf>
    <xf numFmtId="0" fontId="77" fillId="0" borderId="0" xfId="149"/>
    <xf numFmtId="0" fontId="22" fillId="0" borderId="0" xfId="149" applyFont="1"/>
    <xf numFmtId="0" fontId="110" fillId="0" borderId="0" xfId="149" applyFont="1"/>
    <xf numFmtId="0" fontId="78" fillId="0" borderId="0" xfId="149" applyFont="1"/>
    <xf numFmtId="0" fontId="78" fillId="0" borderId="1" xfId="149" applyFont="1" applyBorder="1" applyAlignment="1">
      <alignment horizontal="center" vertical="center" wrapText="1"/>
    </xf>
    <xf numFmtId="0" fontId="77" fillId="0" borderId="2" xfId="149" applyBorder="1" applyAlignment="1">
      <alignment horizontal="center" vertical="center"/>
    </xf>
    <xf numFmtId="166" fontId="75" fillId="0" borderId="2" xfId="95" applyFont="1" applyBorder="1" applyAlignment="1">
      <alignment horizontal="center" vertical="center"/>
    </xf>
    <xf numFmtId="166" fontId="75" fillId="0" borderId="16" xfId="95" applyFont="1" applyBorder="1" applyAlignment="1">
      <alignment horizontal="center" vertical="center" wrapText="1"/>
    </xf>
    <xf numFmtId="166" fontId="75" fillId="0" borderId="2" xfId="95" applyFont="1" applyBorder="1" applyAlignment="1">
      <alignment horizontal="center" vertical="center" wrapText="1"/>
    </xf>
    <xf numFmtId="0" fontId="77" fillId="0" borderId="0" xfId="149" applyBorder="1"/>
    <xf numFmtId="0" fontId="93" fillId="0" borderId="16" xfId="149" applyFont="1" applyBorder="1" applyAlignment="1">
      <alignment horizontal="center" vertical="top"/>
    </xf>
    <xf numFmtId="0" fontId="93" fillId="0" borderId="16" xfId="149" applyFont="1" applyBorder="1" applyAlignment="1">
      <alignment vertical="top" wrapText="1"/>
    </xf>
    <xf numFmtId="166" fontId="93" fillId="0" borderId="16" xfId="95" applyFont="1" applyBorder="1" applyAlignment="1">
      <alignment vertical="top"/>
    </xf>
    <xf numFmtId="166" fontId="93" fillId="0" borderId="16" xfId="95" applyFont="1" applyFill="1" applyBorder="1" applyAlignment="1">
      <alignment vertical="top"/>
    </xf>
    <xf numFmtId="0" fontId="93" fillId="0" borderId="3" xfId="149" applyFont="1" applyBorder="1" applyAlignment="1">
      <alignment horizontal="center" vertical="top"/>
    </xf>
    <xf numFmtId="0" fontId="93" fillId="0" borderId="3" xfId="149" applyFont="1" applyBorder="1" applyAlignment="1">
      <alignment horizontal="center" vertical="top" wrapText="1"/>
    </xf>
    <xf numFmtId="166" fontId="93" fillId="0" borderId="3" xfId="95" applyNumberFormat="1" applyFont="1" applyBorder="1" applyAlignment="1">
      <alignment vertical="top"/>
    </xf>
    <xf numFmtId="41" fontId="111" fillId="0" borderId="0" xfId="2" applyFont="1" applyAlignment="1">
      <alignment vertical="center"/>
    </xf>
    <xf numFmtId="0" fontId="112" fillId="0" borderId="0" xfId="0" applyFont="1" applyAlignment="1">
      <alignment vertical="center"/>
    </xf>
    <xf numFmtId="41" fontId="111" fillId="0" borderId="0" xfId="2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112" fillId="0" borderId="0" xfId="0" applyFont="1" applyFill="1" applyAlignment="1">
      <alignment vertical="center"/>
    </xf>
    <xf numFmtId="0" fontId="85" fillId="20" borderId="33" xfId="0" applyFont="1" applyFill="1" applyBorder="1" applyAlignment="1">
      <alignment horizontal="center" vertical="center" wrapText="1"/>
    </xf>
    <xf numFmtId="41" fontId="113" fillId="0" borderId="0" xfId="2" applyFont="1" applyFill="1" applyAlignment="1">
      <alignment vertical="center"/>
    </xf>
    <xf numFmtId="0" fontId="114" fillId="0" borderId="0" xfId="0" applyFont="1" applyFill="1" applyAlignment="1">
      <alignment vertical="center"/>
    </xf>
    <xf numFmtId="0" fontId="115" fillId="0" borderId="0" xfId="0" applyFont="1" applyFill="1" applyAlignment="1">
      <alignment vertical="center"/>
    </xf>
    <xf numFmtId="0" fontId="85" fillId="20" borderId="15" xfId="0" applyFont="1" applyFill="1" applyBorder="1" applyAlignment="1">
      <alignment horizontal="center" vertical="center" wrapText="1"/>
    </xf>
    <xf numFmtId="0" fontId="85" fillId="20" borderId="2" xfId="0" applyFont="1" applyFill="1" applyBorder="1" applyAlignment="1">
      <alignment horizontal="center" vertical="center" wrapText="1"/>
    </xf>
    <xf numFmtId="0" fontId="85" fillId="20" borderId="49" xfId="0" applyFont="1" applyFill="1" applyBorder="1" applyAlignment="1">
      <alignment horizontal="center" vertical="center" wrapText="1"/>
    </xf>
    <xf numFmtId="0" fontId="85" fillId="20" borderId="3" xfId="0" applyFont="1" applyFill="1" applyBorder="1" applyAlignment="1">
      <alignment horizontal="center" vertical="center" wrapText="1"/>
    </xf>
    <xf numFmtId="0" fontId="114" fillId="0" borderId="50" xfId="0" applyFont="1" applyFill="1" applyBorder="1" applyAlignment="1">
      <alignment horizontal="center" vertical="center"/>
    </xf>
    <xf numFmtId="0" fontId="114" fillId="0" borderId="51" xfId="0" applyFont="1" applyFill="1" applyBorder="1" applyAlignment="1">
      <alignment horizontal="center" vertical="center"/>
    </xf>
    <xf numFmtId="0" fontId="85" fillId="20" borderId="1" xfId="0" applyNumberFormat="1" applyFont="1" applyFill="1" applyBorder="1" applyAlignment="1">
      <alignment horizontal="center" vertical="center"/>
    </xf>
    <xf numFmtId="0" fontId="86" fillId="20" borderId="1" xfId="0" applyNumberFormat="1" applyFont="1" applyFill="1" applyBorder="1" applyAlignment="1">
      <alignment horizontal="center" vertical="center"/>
    </xf>
    <xf numFmtId="0" fontId="99" fillId="20" borderId="33" xfId="0" applyNumberFormat="1" applyFont="1" applyFill="1" applyBorder="1" applyAlignment="1">
      <alignment horizontal="center" vertical="center"/>
    </xf>
    <xf numFmtId="0" fontId="114" fillId="0" borderId="0" xfId="0" applyNumberFormat="1" applyFont="1" applyFill="1" applyAlignment="1">
      <alignment horizontal="center" vertical="center"/>
    </xf>
    <xf numFmtId="41" fontId="113" fillId="0" borderId="0" xfId="2" applyFont="1" applyFill="1" applyAlignment="1">
      <alignment horizontal="center" vertical="center"/>
    </xf>
    <xf numFmtId="0" fontId="115" fillId="0" borderId="0" xfId="0" applyNumberFormat="1" applyFont="1" applyFill="1" applyAlignment="1">
      <alignment horizontal="center" vertical="center"/>
    </xf>
    <xf numFmtId="0" fontId="114" fillId="0" borderId="0" xfId="0" applyNumberFormat="1" applyFont="1" applyFill="1" applyAlignment="1">
      <alignment vertical="center"/>
    </xf>
    <xf numFmtId="0" fontId="116" fillId="0" borderId="33" xfId="0" applyFont="1" applyFill="1" applyBorder="1" applyAlignment="1">
      <alignment vertical="center"/>
    </xf>
    <xf numFmtId="41" fontId="36" fillId="0" borderId="11" xfId="2" applyFont="1" applyFill="1" applyBorder="1" applyAlignment="1">
      <alignment vertical="center"/>
    </xf>
    <xf numFmtId="41" fontId="17" fillId="0" borderId="0" xfId="2" applyFont="1" applyFill="1" applyAlignment="1">
      <alignment vertical="center"/>
    </xf>
    <xf numFmtId="0" fontId="35" fillId="0" borderId="11" xfId="0" applyFont="1" applyFill="1" applyBorder="1" applyAlignment="1">
      <alignment vertical="center" wrapText="1"/>
    </xf>
    <xf numFmtId="168" fontId="16" fillId="0" borderId="0" xfId="2" applyNumberFormat="1" applyFont="1" applyFill="1" applyBorder="1" applyAlignment="1">
      <alignment horizontal="right" vertical="center"/>
    </xf>
    <xf numFmtId="41" fontId="16" fillId="0" borderId="0" xfId="2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vertical="center"/>
    </xf>
    <xf numFmtId="43" fontId="17" fillId="0" borderId="0" xfId="1" applyNumberFormat="1" applyFont="1" applyFill="1" applyBorder="1" applyAlignment="1">
      <alignment horizontal="right" vertical="center"/>
    </xf>
    <xf numFmtId="169" fontId="17" fillId="0" borderId="0" xfId="1" applyNumberFormat="1" applyFont="1" applyFill="1" applyBorder="1" applyAlignment="1">
      <alignment horizontal="right" vertical="center"/>
    </xf>
    <xf numFmtId="169" fontId="17" fillId="19" borderId="0" xfId="1" applyNumberFormat="1" applyFont="1" applyFill="1" applyBorder="1" applyAlignment="1">
      <alignment horizontal="right" vertical="center"/>
    </xf>
    <xf numFmtId="43" fontId="17" fillId="19" borderId="0" xfId="1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43" fontId="16" fillId="0" borderId="0" xfId="1" applyNumberFormat="1" applyFont="1" applyFill="1" applyBorder="1" applyAlignment="1">
      <alignment horizontal="right" vertical="center"/>
    </xf>
    <xf numFmtId="169" fontId="16" fillId="0" borderId="0" xfId="1" applyNumberFormat="1" applyFont="1" applyFill="1" applyBorder="1" applyAlignment="1">
      <alignment horizontal="right" vertical="center"/>
    </xf>
    <xf numFmtId="0" fontId="117" fillId="0" borderId="0" xfId="0" applyFont="1" applyAlignment="1">
      <alignment vertical="center"/>
    </xf>
    <xf numFmtId="41" fontId="17" fillId="0" borderId="0" xfId="2" applyFont="1" applyFill="1" applyBorder="1" applyAlignment="1">
      <alignment horizontal="right" vertical="center"/>
    </xf>
    <xf numFmtId="41" fontId="22" fillId="0" borderId="11" xfId="3" applyNumberFormat="1" applyFont="1" applyFill="1" applyBorder="1" applyAlignment="1">
      <alignment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3" fillId="0" borderId="11" xfId="3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88" fillId="0" borderId="0" xfId="0" applyFont="1" applyBorder="1" applyAlignment="1">
      <alignment vertical="center"/>
    </xf>
    <xf numFmtId="169" fontId="17" fillId="0" borderId="36" xfId="1" applyNumberFormat="1" applyFont="1" applyFill="1" applyBorder="1" applyAlignment="1">
      <alignment horizontal="right" vertical="center"/>
    </xf>
    <xf numFmtId="43" fontId="17" fillId="0" borderId="36" xfId="1" applyNumberFormat="1" applyFont="1" applyFill="1" applyBorder="1" applyAlignment="1">
      <alignment horizontal="right" vertical="center"/>
    </xf>
    <xf numFmtId="41" fontId="16" fillId="0" borderId="0" xfId="2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7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41" fontId="111" fillId="0" borderId="0" xfId="2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112" fillId="0" borderId="0" xfId="0" applyFont="1" applyBorder="1" applyAlignment="1">
      <alignment vertical="center"/>
    </xf>
    <xf numFmtId="0" fontId="88" fillId="0" borderId="9" xfId="325" applyFont="1" applyBorder="1" applyAlignment="1">
      <alignment horizontal="left" vertical="top"/>
    </xf>
    <xf numFmtId="0" fontId="88" fillId="0" borderId="21" xfId="325" applyFont="1" applyBorder="1" applyAlignment="1">
      <alignment vertical="top" wrapText="1"/>
    </xf>
    <xf numFmtId="0" fontId="88" fillId="0" borderId="9" xfId="325" quotePrefix="1" applyFont="1" applyBorder="1" applyAlignment="1">
      <alignment horizontal="left" vertical="top"/>
    </xf>
    <xf numFmtId="41" fontId="77" fillId="0" borderId="1" xfId="2" applyFont="1" applyBorder="1"/>
    <xf numFmtId="41" fontId="77" fillId="0" borderId="1" xfId="2" applyFont="1" applyBorder="1" applyAlignment="1">
      <alignment horizontal="center"/>
    </xf>
    <xf numFmtId="41" fontId="77" fillId="19" borderId="1" xfId="2" applyFont="1" applyFill="1" applyBorder="1" applyAlignment="1">
      <alignment horizontal="center"/>
    </xf>
    <xf numFmtId="41" fontId="75" fillId="0" borderId="1" xfId="2" applyFont="1" applyBorder="1"/>
    <xf numFmtId="168" fontId="92" fillId="0" borderId="18" xfId="67" applyNumberFormat="1" applyFont="1" applyBorder="1" applyAlignment="1">
      <alignment vertical="top"/>
    </xf>
    <xf numFmtId="168" fontId="88" fillId="0" borderId="18" xfId="67" applyNumberFormat="1" applyFont="1" applyBorder="1" applyAlignment="1">
      <alignment vertical="top"/>
    </xf>
    <xf numFmtId="168" fontId="74" fillId="0" borderId="11" xfId="51" applyNumberFormat="1" applyFont="1" applyFill="1" applyBorder="1"/>
    <xf numFmtId="168" fontId="74" fillId="0" borderId="11" xfId="51" quotePrefix="1" applyNumberFormat="1" applyFont="1" applyFill="1" applyBorder="1"/>
    <xf numFmtId="41" fontId="67" fillId="0" borderId="0" xfId="2" applyFont="1" applyAlignment="1">
      <alignment horizontal="center" vertical="top"/>
    </xf>
    <xf numFmtId="43" fontId="67" fillId="0" borderId="0" xfId="376" applyNumberFormat="1" applyFont="1">
      <alignment vertical="top"/>
    </xf>
    <xf numFmtId="41" fontId="75" fillId="0" borderId="1" xfId="2" applyNumberFormat="1" applyFont="1" applyBorder="1"/>
    <xf numFmtId="41" fontId="78" fillId="0" borderId="1" xfId="2" applyNumberFormat="1" applyFont="1" applyBorder="1" applyAlignment="1">
      <alignment horizontal="center"/>
    </xf>
    <xf numFmtId="3" fontId="100" fillId="0" borderId="0" xfId="0" applyNumberFormat="1" applyFont="1"/>
    <xf numFmtId="166" fontId="93" fillId="19" borderId="16" xfId="95" applyFont="1" applyFill="1" applyBorder="1" applyAlignment="1">
      <alignment vertical="top"/>
    </xf>
    <xf numFmtId="41" fontId="79" fillId="0" borderId="0" xfId="2" applyFont="1"/>
    <xf numFmtId="41" fontId="78" fillId="0" borderId="0" xfId="2" applyFont="1" applyAlignment="1">
      <alignment horizontal="center" vertical="center"/>
    </xf>
    <xf numFmtId="41" fontId="78" fillId="13" borderId="1" xfId="2" applyFont="1" applyFill="1" applyBorder="1" applyAlignment="1">
      <alignment horizontal="center" vertical="center"/>
    </xf>
    <xf numFmtId="41" fontId="78" fillId="0" borderId="1" xfId="2" applyFont="1" applyFill="1" applyBorder="1" applyAlignment="1">
      <alignment horizontal="left" vertical="center"/>
    </xf>
    <xf numFmtId="41" fontId="78" fillId="0" borderId="0" xfId="2" applyFont="1" applyFill="1" applyAlignment="1">
      <alignment horizontal="center" vertical="center"/>
    </xf>
    <xf numFmtId="41" fontId="77" fillId="0" borderId="1" xfId="2" applyFont="1" applyFill="1" applyBorder="1" applyAlignment="1">
      <alignment horizontal="left" vertical="center"/>
    </xf>
    <xf numFmtId="41" fontId="77" fillId="0" borderId="0" xfId="2" applyFont="1" applyFill="1" applyAlignment="1">
      <alignment horizontal="center" vertical="center"/>
    </xf>
    <xf numFmtId="41" fontId="28" fillId="3" borderId="1" xfId="2" applyFont="1" applyFill="1" applyBorder="1" applyAlignment="1">
      <alignment horizontal="right" vertical="top"/>
    </xf>
    <xf numFmtId="41" fontId="78" fillId="0" borderId="0" xfId="2" applyFont="1"/>
    <xf numFmtId="41" fontId="77" fillId="0" borderId="0" xfId="2" applyFont="1"/>
    <xf numFmtId="41" fontId="0" fillId="0" borderId="1" xfId="2" applyFont="1" applyBorder="1" applyAlignment="1">
      <alignment horizontal="center"/>
    </xf>
    <xf numFmtId="41" fontId="0" fillId="0" borderId="1" xfId="2" applyFont="1" applyBorder="1"/>
    <xf numFmtId="41" fontId="0" fillId="0" borderId="0" xfId="2" applyFont="1"/>
    <xf numFmtId="41" fontId="78" fillId="0" borderId="3" xfId="2" applyFont="1" applyBorder="1" applyAlignment="1">
      <alignment horizontal="center"/>
    </xf>
    <xf numFmtId="41" fontId="0" fillId="0" borderId="0" xfId="2" applyFont="1" applyAlignment="1">
      <alignment horizontal="center"/>
    </xf>
    <xf numFmtId="3" fontId="122" fillId="0" borderId="60" xfId="0" applyNumberFormat="1" applyFont="1" applyBorder="1" applyAlignment="1">
      <alignment horizontal="right" vertical="center" wrapText="1"/>
    </xf>
    <xf numFmtId="15" fontId="17" fillId="0" borderId="11" xfId="1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41" fontId="36" fillId="0" borderId="11" xfId="2" applyFont="1" applyFill="1" applyBorder="1" applyAlignment="1">
      <alignment horizontal="left" vertical="center"/>
    </xf>
    <xf numFmtId="41" fontId="80" fillId="0" borderId="0" xfId="2" applyFont="1" applyFill="1"/>
    <xf numFmtId="41" fontId="81" fillId="0" borderId="0" xfId="2" applyFont="1" applyFill="1"/>
    <xf numFmtId="41" fontId="129" fillId="0" borderId="0" xfId="2" applyFont="1" applyFill="1"/>
    <xf numFmtId="41" fontId="35" fillId="0" borderId="11" xfId="2" applyNumberFormat="1" applyFont="1" applyFill="1" applyBorder="1" applyAlignment="1">
      <alignment vertical="center"/>
    </xf>
    <xf numFmtId="41" fontId="36" fillId="0" borderId="11" xfId="2" applyNumberFormat="1" applyFont="1" applyFill="1" applyBorder="1" applyAlignment="1">
      <alignment vertical="center"/>
    </xf>
    <xf numFmtId="41" fontId="17" fillId="0" borderId="0" xfId="2" applyNumberFormat="1" applyFont="1" applyFill="1" applyAlignment="1">
      <alignment vertical="center"/>
    </xf>
    <xf numFmtId="41" fontId="113" fillId="0" borderId="0" xfId="2" applyNumberFormat="1" applyFont="1" applyFill="1" applyAlignment="1">
      <alignment vertical="center"/>
    </xf>
    <xf numFmtId="41" fontId="114" fillId="0" borderId="0" xfId="2" applyNumberFormat="1" applyFont="1" applyFill="1" applyAlignment="1">
      <alignment vertical="center"/>
    </xf>
    <xf numFmtId="41" fontId="115" fillId="0" borderId="0" xfId="2" applyNumberFormat="1" applyFont="1" applyFill="1" applyAlignment="1">
      <alignment vertical="center"/>
    </xf>
    <xf numFmtId="41" fontId="17" fillId="0" borderId="11" xfId="2" applyNumberFormat="1" applyFont="1" applyFill="1" applyBorder="1" applyAlignment="1">
      <alignment horizontal="right" vertical="center"/>
    </xf>
    <xf numFmtId="41" fontId="111" fillId="0" borderId="0" xfId="2" applyNumberFormat="1" applyFont="1" applyFill="1" applyAlignment="1">
      <alignment vertical="center"/>
    </xf>
    <xf numFmtId="41" fontId="87" fillId="0" borderId="0" xfId="2" applyNumberFormat="1" applyFont="1" applyFill="1" applyAlignment="1">
      <alignment vertical="center"/>
    </xf>
    <xf numFmtId="41" fontId="112" fillId="0" borderId="0" xfId="2" applyNumberFormat="1" applyFont="1" applyFill="1" applyAlignment="1">
      <alignment vertical="center"/>
    </xf>
    <xf numFmtId="41" fontId="35" fillId="0" borderId="11" xfId="2" applyNumberFormat="1" applyFont="1" applyFill="1" applyBorder="1" applyAlignment="1">
      <alignment vertical="center" wrapText="1"/>
    </xf>
    <xf numFmtId="41" fontId="17" fillId="0" borderId="11" xfId="2" applyNumberFormat="1" applyFont="1" applyFill="1" applyBorder="1" applyAlignment="1">
      <alignment horizontal="right" vertical="center" wrapText="1"/>
    </xf>
    <xf numFmtId="41" fontId="16" fillId="0" borderId="8" xfId="2" applyNumberFormat="1" applyFont="1" applyFill="1" applyBorder="1" applyAlignment="1">
      <alignment horizontal="right" vertical="center"/>
    </xf>
    <xf numFmtId="41" fontId="17" fillId="0" borderId="0" xfId="2" applyNumberFormat="1" applyFont="1" applyFill="1" applyBorder="1" applyAlignment="1">
      <alignment horizontal="right" vertical="center"/>
    </xf>
    <xf numFmtId="41" fontId="35" fillId="0" borderId="14" xfId="2" applyNumberFormat="1" applyFont="1" applyFill="1" applyBorder="1" applyAlignment="1">
      <alignment vertical="center"/>
    </xf>
    <xf numFmtId="41" fontId="17" fillId="0" borderId="14" xfId="2" applyNumberFormat="1" applyFont="1" applyFill="1" applyBorder="1" applyAlignment="1">
      <alignment horizontal="right" vertical="center"/>
    </xf>
    <xf numFmtId="41" fontId="16" fillId="0" borderId="14" xfId="2" applyNumberFormat="1" applyFont="1" applyFill="1" applyBorder="1" applyAlignment="1">
      <alignment horizontal="right" vertical="center"/>
    </xf>
    <xf numFmtId="41" fontId="117" fillId="20" borderId="1" xfId="2" applyNumberFormat="1" applyFont="1" applyFill="1" applyBorder="1" applyAlignment="1">
      <alignment vertical="center"/>
    </xf>
    <xf numFmtId="41" fontId="101" fillId="20" borderId="1" xfId="2" applyNumberFormat="1" applyFont="1" applyFill="1" applyBorder="1" applyAlignment="1">
      <alignment horizontal="center" vertical="center"/>
    </xf>
    <xf numFmtId="41" fontId="36" fillId="20" borderId="1" xfId="2" applyNumberFormat="1" applyFont="1" applyFill="1" applyBorder="1" applyAlignment="1">
      <alignment vertical="center"/>
    </xf>
    <xf numFmtId="41" fontId="84" fillId="0" borderId="0" xfId="2" applyNumberFormat="1" applyFont="1" applyAlignment="1">
      <alignment vertical="center"/>
    </xf>
    <xf numFmtId="41" fontId="88" fillId="0" borderId="0" xfId="2" applyNumberFormat="1" applyFont="1" applyAlignment="1">
      <alignment vertical="center"/>
    </xf>
    <xf numFmtId="41" fontId="88" fillId="0" borderId="0" xfId="2" applyNumberFormat="1" applyFont="1" applyFill="1" applyAlignment="1">
      <alignment vertical="center"/>
    </xf>
    <xf numFmtId="41" fontId="88" fillId="0" borderId="0" xfId="2" applyNumberFormat="1" applyFont="1" applyAlignment="1">
      <alignment horizontal="center" vertical="center"/>
    </xf>
    <xf numFmtId="41" fontId="102" fillId="0" borderId="0" xfId="2" applyNumberFormat="1" applyFont="1" applyAlignment="1">
      <alignment horizontal="center" vertical="center"/>
    </xf>
    <xf numFmtId="41" fontId="90" fillId="0" borderId="0" xfId="2" applyNumberFormat="1" applyFont="1" applyAlignment="1">
      <alignment horizontal="center" vertical="center"/>
    </xf>
    <xf numFmtId="41" fontId="89" fillId="0" borderId="0" xfId="2" applyNumberFormat="1" applyFont="1" applyAlignment="1">
      <alignment horizontal="center" vertical="center"/>
    </xf>
    <xf numFmtId="41" fontId="17" fillId="19" borderId="12" xfId="2" applyNumberFormat="1" applyFont="1" applyFill="1" applyBorder="1" applyAlignment="1">
      <alignment horizontal="right" vertical="center"/>
    </xf>
    <xf numFmtId="41" fontId="17" fillId="19" borderId="0" xfId="2" applyNumberFormat="1" applyFont="1" applyFill="1" applyBorder="1" applyAlignment="1">
      <alignment horizontal="right" vertical="center"/>
    </xf>
    <xf numFmtId="41" fontId="85" fillId="20" borderId="33" xfId="2" applyNumberFormat="1" applyFont="1" applyFill="1" applyBorder="1" applyAlignment="1">
      <alignment horizontal="center" vertical="center" wrapText="1"/>
    </xf>
    <xf numFmtId="41" fontId="85" fillId="20" borderId="47" xfId="2" applyNumberFormat="1" applyFont="1" applyFill="1" applyBorder="1" applyAlignment="1">
      <alignment horizontal="center" vertical="center" wrapText="1"/>
    </xf>
    <xf numFmtId="41" fontId="85" fillId="0" borderId="0" xfId="2" applyNumberFormat="1" applyFont="1" applyFill="1" applyAlignment="1">
      <alignment vertical="center"/>
    </xf>
    <xf numFmtId="41" fontId="85" fillId="20" borderId="15" xfId="2" applyNumberFormat="1" applyFont="1" applyFill="1" applyBorder="1" applyAlignment="1">
      <alignment horizontal="center" vertical="center" wrapText="1"/>
    </xf>
    <xf numFmtId="41" fontId="85" fillId="20" borderId="2" xfId="2" applyNumberFormat="1" applyFont="1" applyFill="1" applyBorder="1" applyAlignment="1">
      <alignment horizontal="center" vertical="center" wrapText="1"/>
    </xf>
    <xf numFmtId="41" fontId="85" fillId="20" borderId="48" xfId="2" applyNumberFormat="1" applyFont="1" applyFill="1" applyBorder="1" applyAlignment="1">
      <alignment horizontal="center" vertical="center" wrapText="1"/>
    </xf>
    <xf numFmtId="41" fontId="85" fillId="20" borderId="49" xfId="2" applyNumberFormat="1" applyFont="1" applyFill="1" applyBorder="1" applyAlignment="1">
      <alignment horizontal="center" vertical="center" wrapText="1"/>
    </xf>
    <xf numFmtId="41" fontId="85" fillId="20" borderId="3" xfId="2" applyNumberFormat="1" applyFont="1" applyFill="1" applyBorder="1" applyAlignment="1">
      <alignment horizontal="center" vertical="center" wrapText="1"/>
    </xf>
    <xf numFmtId="41" fontId="114" fillId="0" borderId="50" xfId="2" applyNumberFormat="1" applyFont="1" applyFill="1" applyBorder="1" applyAlignment="1">
      <alignment horizontal="center" vertical="center"/>
    </xf>
    <xf numFmtId="41" fontId="114" fillId="0" borderId="51" xfId="2" applyNumberFormat="1" applyFont="1" applyFill="1" applyBorder="1" applyAlignment="1">
      <alignment horizontal="center" vertical="center"/>
    </xf>
    <xf numFmtId="41" fontId="85" fillId="20" borderId="1" xfId="2" applyNumberFormat="1" applyFont="1" applyFill="1" applyBorder="1" applyAlignment="1">
      <alignment horizontal="center" vertical="center"/>
    </xf>
    <xf numFmtId="41" fontId="86" fillId="20" borderId="1" xfId="2" applyNumberFormat="1" applyFont="1" applyFill="1" applyBorder="1" applyAlignment="1">
      <alignment horizontal="center" vertical="center"/>
    </xf>
    <xf numFmtId="41" fontId="99" fillId="20" borderId="33" xfId="2" applyNumberFormat="1" applyFont="1" applyFill="1" applyBorder="1" applyAlignment="1">
      <alignment horizontal="center" vertical="center"/>
    </xf>
    <xf numFmtId="41" fontId="114" fillId="0" borderId="0" xfId="2" applyNumberFormat="1" applyFont="1" applyFill="1" applyAlignment="1">
      <alignment horizontal="center" vertical="center"/>
    </xf>
    <xf numFmtId="41" fontId="113" fillId="0" borderId="0" xfId="2" applyNumberFormat="1" applyFont="1" applyFill="1" applyAlignment="1">
      <alignment horizontal="center" vertical="center"/>
    </xf>
    <xf numFmtId="41" fontId="115" fillId="0" borderId="0" xfId="2" applyNumberFormat="1" applyFont="1" applyFill="1" applyAlignment="1">
      <alignment horizontal="center" vertical="center"/>
    </xf>
    <xf numFmtId="41" fontId="17" fillId="0" borderId="8" xfId="2" applyNumberFormat="1" applyFont="1" applyFill="1" applyBorder="1" applyAlignment="1">
      <alignment horizontal="right" vertical="center"/>
    </xf>
    <xf numFmtId="41" fontId="77" fillId="0" borderId="0" xfId="149" applyNumberFormat="1"/>
    <xf numFmtId="41" fontId="88" fillId="0" borderId="0" xfId="2" applyFont="1" applyAlignment="1">
      <alignment vertical="center"/>
    </xf>
    <xf numFmtId="41" fontId="73" fillId="0" borderId="0" xfId="2" applyNumberFormat="1" applyFont="1" applyAlignment="1">
      <alignment horizontal="center" vertical="center"/>
    </xf>
    <xf numFmtId="43" fontId="132" fillId="0" borderId="0" xfId="0" applyNumberFormat="1" applyFont="1"/>
    <xf numFmtId="0" fontId="6" fillId="0" borderId="0" xfId="376" applyFont="1" applyAlignment="1">
      <alignment vertical="top"/>
    </xf>
    <xf numFmtId="43" fontId="6" fillId="0" borderId="0" xfId="376" applyNumberFormat="1" applyFont="1" applyAlignment="1">
      <alignment vertical="top"/>
    </xf>
    <xf numFmtId="43" fontId="0" fillId="9" borderId="0" xfId="0" applyNumberFormat="1" applyFill="1"/>
    <xf numFmtId="0" fontId="92" fillId="0" borderId="18" xfId="221" applyFont="1" applyBorder="1" applyAlignment="1">
      <alignment horizontal="center"/>
    </xf>
    <xf numFmtId="0" fontId="92" fillId="0" borderId="22" xfId="221" applyFont="1" applyBorder="1" applyAlignment="1">
      <alignment horizontal="left"/>
    </xf>
    <xf numFmtId="0" fontId="92" fillId="0" borderId="21" xfId="221" applyFont="1" applyBorder="1" applyAlignment="1">
      <alignment vertical="top" wrapText="1"/>
    </xf>
    <xf numFmtId="168" fontId="92" fillId="0" borderId="18" xfId="221" applyNumberFormat="1" applyFont="1" applyBorder="1" applyAlignment="1">
      <alignment vertical="top"/>
    </xf>
    <xf numFmtId="0" fontId="92" fillId="0" borderId="9" xfId="221" quotePrefix="1" applyFont="1" applyBorder="1" applyAlignment="1">
      <alignment horizontal="left" vertical="top"/>
    </xf>
    <xf numFmtId="0" fontId="67" fillId="0" borderId="0" xfId="376" applyFont="1" applyAlignment="1">
      <alignment vertical="top"/>
    </xf>
    <xf numFmtId="41" fontId="6" fillId="0" borderId="0" xfId="0" applyNumberFormat="1" applyFont="1" applyFill="1"/>
    <xf numFmtId="166" fontId="77" fillId="0" borderId="0" xfId="149" applyNumberFormat="1"/>
    <xf numFmtId="41" fontId="4" fillId="0" borderId="0" xfId="2" applyFont="1"/>
    <xf numFmtId="41" fontId="5" fillId="0" borderId="0" xfId="2" applyFont="1"/>
    <xf numFmtId="41" fontId="6" fillId="0" borderId="0" xfId="2" applyFont="1" applyAlignment="1">
      <alignment horizontal="center"/>
    </xf>
    <xf numFmtId="41" fontId="6" fillId="0" borderId="0" xfId="2" applyFont="1"/>
    <xf numFmtId="41" fontId="6" fillId="0" borderId="0" xfId="2" applyFont="1" applyFill="1"/>
    <xf numFmtId="43" fontId="77" fillId="0" borderId="0" xfId="149" applyNumberFormat="1"/>
    <xf numFmtId="43" fontId="6" fillId="0" borderId="0" xfId="0" applyNumberFormat="1" applyFont="1" applyFill="1"/>
    <xf numFmtId="166" fontId="2" fillId="0" borderId="16" xfId="95" applyFont="1" applyFill="1" applyBorder="1" applyAlignment="1">
      <alignment vertical="top"/>
    </xf>
    <xf numFmtId="0" fontId="123" fillId="0" borderId="0" xfId="0" applyFont="1" applyFill="1" applyAlignment="1">
      <alignment wrapText="1"/>
    </xf>
    <xf numFmtId="0" fontId="122" fillId="0" borderId="0" xfId="0" applyFont="1" applyFill="1" applyAlignment="1">
      <alignment vertical="center" wrapText="1"/>
    </xf>
    <xf numFmtId="0" fontId="124" fillId="0" borderId="60" xfId="0" applyFont="1" applyFill="1" applyBorder="1" applyAlignment="1">
      <alignment horizontal="center" vertical="center" wrapText="1"/>
    </xf>
    <xf numFmtId="0" fontId="124" fillId="0" borderId="60" xfId="0" applyFont="1" applyFill="1" applyBorder="1" applyAlignment="1">
      <alignment horizontal="left" vertical="center" wrapText="1"/>
    </xf>
    <xf numFmtId="0" fontId="124" fillId="0" borderId="60" xfId="0" applyFont="1" applyFill="1" applyBorder="1" applyAlignment="1">
      <alignment vertical="center" wrapText="1"/>
    </xf>
    <xf numFmtId="3" fontId="124" fillId="0" borderId="60" xfId="0" applyNumberFormat="1" applyFont="1" applyFill="1" applyBorder="1" applyAlignment="1">
      <alignment horizontal="right" vertical="center" wrapText="1"/>
    </xf>
    <xf numFmtId="10" fontId="124" fillId="0" borderId="60" xfId="0" applyNumberFormat="1" applyFont="1" applyFill="1" applyBorder="1" applyAlignment="1">
      <alignment horizontal="right" vertical="center" wrapText="1"/>
    </xf>
    <xf numFmtId="20" fontId="124" fillId="0" borderId="60" xfId="0" applyNumberFormat="1" applyFont="1" applyFill="1" applyBorder="1" applyAlignment="1">
      <alignment horizontal="left" vertical="center" wrapText="1"/>
    </xf>
    <xf numFmtId="21" fontId="124" fillId="0" borderId="60" xfId="0" applyNumberFormat="1" applyFont="1" applyFill="1" applyBorder="1" applyAlignment="1">
      <alignment horizontal="left" vertical="center" wrapText="1"/>
    </xf>
    <xf numFmtId="0" fontId="126" fillId="0" borderId="0" xfId="0" applyFont="1" applyFill="1" applyAlignment="1">
      <alignment wrapText="1"/>
    </xf>
    <xf numFmtId="0" fontId="122" fillId="0" borderId="60" xfId="0" applyFont="1" applyFill="1" applyBorder="1" applyAlignment="1">
      <alignment horizontal="left" vertical="center" wrapText="1"/>
    </xf>
    <xf numFmtId="0" fontId="122" fillId="0" borderId="60" xfId="0" applyFont="1" applyFill="1" applyBorder="1" applyAlignment="1">
      <alignment vertical="center" wrapText="1"/>
    </xf>
    <xf numFmtId="3" fontId="122" fillId="0" borderId="60" xfId="0" applyNumberFormat="1" applyFont="1" applyFill="1" applyBorder="1" applyAlignment="1">
      <alignment horizontal="right" vertical="center" wrapText="1"/>
    </xf>
    <xf numFmtId="10" fontId="122" fillId="0" borderId="60" xfId="0" applyNumberFormat="1" applyFont="1" applyFill="1" applyBorder="1" applyAlignment="1">
      <alignment horizontal="right" vertical="center" wrapText="1"/>
    </xf>
    <xf numFmtId="0" fontId="124" fillId="0" borderId="60" xfId="0" applyFont="1" applyFill="1" applyBorder="1" applyAlignment="1">
      <alignment horizontal="right" vertical="center" wrapText="1"/>
    </xf>
    <xf numFmtId="3" fontId="123" fillId="0" borderId="0" xfId="0" applyNumberFormat="1" applyFont="1" applyFill="1" applyAlignment="1">
      <alignment wrapText="1"/>
    </xf>
    <xf numFmtId="0" fontId="122" fillId="0" borderId="60" xfId="0" applyFont="1" applyFill="1" applyBorder="1" applyAlignment="1">
      <alignment horizontal="right" vertical="center" wrapText="1"/>
    </xf>
    <xf numFmtId="0" fontId="133" fillId="0" borderId="0" xfId="399" applyFont="1" applyFill="1"/>
    <xf numFmtId="0" fontId="134" fillId="0" borderId="0" xfId="51" applyNumberFormat="1" applyFont="1" applyFill="1" applyBorder="1" applyAlignment="1">
      <alignment horizontal="center" vertical="center"/>
    </xf>
    <xf numFmtId="0" fontId="2" fillId="0" borderId="0" xfId="51" applyNumberFormat="1" applyFont="1" applyFill="1" applyBorder="1" applyAlignment="1">
      <alignment horizontal="center" vertical="center"/>
    </xf>
    <xf numFmtId="0" fontId="23" fillId="0" borderId="0" xfId="336" applyFont="1" applyFill="1" applyAlignment="1">
      <alignment horizontal="left"/>
    </xf>
    <xf numFmtId="41" fontId="133" fillId="0" borderId="0" xfId="2" applyFont="1" applyFill="1"/>
    <xf numFmtId="0" fontId="2" fillId="0" borderId="0" xfId="51" applyNumberFormat="1" applyFont="1" applyFill="1" applyAlignment="1">
      <alignment horizontal="center" vertical="center"/>
    </xf>
    <xf numFmtId="168" fontId="133" fillId="0" borderId="0" xfId="399" applyNumberFormat="1" applyFont="1" applyFill="1"/>
    <xf numFmtId="0" fontId="135" fillId="0" borderId="0" xfId="399" applyFont="1" applyFill="1"/>
    <xf numFmtId="41" fontId="133" fillId="0" borderId="0" xfId="399" applyNumberFormat="1" applyFont="1" applyFill="1"/>
    <xf numFmtId="0" fontId="23" fillId="0" borderId="42" xfId="51" applyNumberFormat="1" applyFont="1" applyFill="1" applyBorder="1" applyAlignment="1">
      <alignment horizontal="left" vertical="center"/>
    </xf>
    <xf numFmtId="0" fontId="23" fillId="0" borderId="43" xfId="51" applyNumberFormat="1" applyFont="1" applyFill="1" applyBorder="1" applyAlignment="1">
      <alignment horizontal="left" vertical="center"/>
    </xf>
    <xf numFmtId="0" fontId="22" fillId="0" borderId="43" xfId="51" applyNumberFormat="1" applyFont="1" applyFill="1" applyBorder="1" applyAlignment="1">
      <alignment horizontal="left" vertical="center"/>
    </xf>
    <xf numFmtId="0" fontId="23" fillId="0" borderId="44" xfId="51" applyNumberFormat="1" applyFont="1" applyFill="1" applyBorder="1" applyAlignment="1">
      <alignment horizontal="left" vertical="center"/>
    </xf>
    <xf numFmtId="41" fontId="23" fillId="0" borderId="1" xfId="51" applyFont="1" applyFill="1" applyBorder="1" applyAlignment="1">
      <alignment horizontal="center" vertical="center"/>
    </xf>
    <xf numFmtId="41" fontId="23" fillId="0" borderId="1" xfId="51" quotePrefix="1" applyFont="1" applyFill="1" applyBorder="1" applyAlignment="1">
      <alignment horizontal="center" vertical="center"/>
    </xf>
    <xf numFmtId="0" fontId="85" fillId="20" borderId="2" xfId="0" applyFont="1" applyFill="1" applyBorder="1" applyAlignment="1">
      <alignment horizontal="center" vertical="center" wrapText="1"/>
    </xf>
    <xf numFmtId="0" fontId="85" fillId="20" borderId="16" xfId="0" applyFont="1" applyFill="1" applyBorder="1" applyAlignment="1">
      <alignment horizontal="center" vertical="center" wrapText="1"/>
    </xf>
    <xf numFmtId="0" fontId="85" fillId="20" borderId="3" xfId="0" applyFont="1" applyFill="1" applyBorder="1" applyAlignment="1">
      <alignment horizontal="center" vertical="center" wrapText="1"/>
    </xf>
    <xf numFmtId="0" fontId="23" fillId="0" borderId="63" xfId="51" applyNumberFormat="1" applyFont="1" applyFill="1" applyBorder="1" applyAlignment="1">
      <alignment horizontal="center" vertical="center" wrapText="1"/>
    </xf>
    <xf numFmtId="0" fontId="23" fillId="0" borderId="48" xfId="51" applyNumberFormat="1" applyFont="1" applyFill="1" applyBorder="1" applyAlignment="1">
      <alignment horizontal="center" vertical="center"/>
    </xf>
    <xf numFmtId="41" fontId="23" fillId="0" borderId="16" xfId="51" applyFont="1" applyFill="1" applyBorder="1" applyAlignment="1">
      <alignment horizontal="center" vertical="center"/>
    </xf>
    <xf numFmtId="41" fontId="23" fillId="0" borderId="16" xfId="51" quotePrefix="1" applyFont="1" applyFill="1" applyBorder="1" applyAlignment="1">
      <alignment horizontal="center" vertical="center"/>
    </xf>
    <xf numFmtId="41" fontId="23" fillId="0" borderId="16" xfId="51" applyFont="1" applyFill="1" applyBorder="1" applyAlignment="1">
      <alignment horizontal="center" vertical="center" wrapText="1"/>
    </xf>
    <xf numFmtId="41" fontId="23" fillId="0" borderId="15" xfId="51" applyFont="1" applyFill="1" applyBorder="1" applyAlignment="1">
      <alignment horizontal="center" vertical="center" wrapText="1"/>
    </xf>
    <xf numFmtId="0" fontId="80" fillId="0" borderId="0" xfId="221" applyFont="1" applyFill="1" applyAlignment="1">
      <alignment horizontal="center"/>
    </xf>
    <xf numFmtId="0" fontId="80" fillId="0" borderId="0" xfId="221" applyFont="1" applyFill="1" applyBorder="1" applyAlignment="1">
      <alignment horizontal="center"/>
    </xf>
    <xf numFmtId="0" fontId="80" fillId="0" borderId="0" xfId="221" applyFont="1" applyFill="1" applyAlignment="1">
      <alignment horizontal="justify"/>
    </xf>
    <xf numFmtId="0" fontId="80" fillId="0" borderId="0" xfId="221" applyFont="1" applyFill="1" applyAlignment="1">
      <alignment horizontal="center" vertical="center"/>
    </xf>
    <xf numFmtId="41" fontId="80" fillId="0" borderId="0" xfId="2" applyFont="1" applyFill="1" applyAlignment="1">
      <alignment horizontal="center" vertical="center"/>
    </xf>
    <xf numFmtId="0" fontId="80" fillId="0" borderId="0" xfId="221" applyFont="1" applyFill="1" applyAlignment="1">
      <alignment horizontal="center" vertical="center" wrapText="1"/>
    </xf>
    <xf numFmtId="0" fontId="80" fillId="0" borderId="26" xfId="221" applyFont="1" applyFill="1" applyBorder="1" applyAlignment="1">
      <alignment horizontal="center" vertical="top"/>
    </xf>
    <xf numFmtId="0" fontId="80" fillId="0" borderId="24" xfId="221" applyFont="1" applyFill="1" applyBorder="1" applyAlignment="1">
      <alignment horizontal="center" vertical="top"/>
    </xf>
    <xf numFmtId="0" fontId="80" fillId="0" borderId="27" xfId="221" applyFont="1" applyFill="1" applyBorder="1" applyAlignment="1">
      <alignment horizontal="center" vertical="top"/>
    </xf>
    <xf numFmtId="0" fontId="80" fillId="0" borderId="32" xfId="221" applyFont="1" applyFill="1" applyBorder="1" applyAlignment="1">
      <alignment horizontal="center" vertical="top"/>
    </xf>
    <xf numFmtId="0" fontId="80" fillId="0" borderId="30" xfId="221" applyFont="1" applyFill="1" applyBorder="1" applyAlignment="1">
      <alignment horizontal="center" vertical="top"/>
    </xf>
    <xf numFmtId="0" fontId="81" fillId="0" borderId="31" xfId="221" applyFont="1" applyFill="1" applyBorder="1" applyAlignment="1"/>
    <xf numFmtId="0" fontId="80" fillId="0" borderId="30" xfId="221" applyFont="1" applyFill="1" applyBorder="1" applyAlignment="1">
      <alignment vertical="top"/>
    </xf>
    <xf numFmtId="0" fontId="81" fillId="0" borderId="31" xfId="221" applyFont="1" applyFill="1" applyBorder="1" applyAlignment="1">
      <alignment vertical="top"/>
    </xf>
    <xf numFmtId="41" fontId="80" fillId="0" borderId="0" xfId="221" applyNumberFormat="1" applyFont="1" applyFill="1"/>
    <xf numFmtId="0" fontId="80" fillId="0" borderId="33" xfId="221" applyFont="1" applyFill="1" applyBorder="1" applyAlignment="1">
      <alignment vertical="top"/>
    </xf>
    <xf numFmtId="168" fontId="88" fillId="0" borderId="18" xfId="306" applyNumberFormat="1" applyFont="1" applyFill="1" applyBorder="1" applyAlignment="1">
      <alignment vertical="top"/>
    </xf>
    <xf numFmtId="0" fontId="81" fillId="0" borderId="33" xfId="221" applyFont="1" applyFill="1" applyBorder="1" applyAlignment="1"/>
    <xf numFmtId="0" fontId="81" fillId="0" borderId="32" xfId="221" applyFont="1" applyFill="1" applyBorder="1" applyAlignment="1">
      <alignment horizontal="center" vertical="top"/>
    </xf>
    <xf numFmtId="168" fontId="81" fillId="0" borderId="30" xfId="221" applyNumberFormat="1" applyFont="1" applyFill="1" applyBorder="1" applyAlignment="1">
      <alignment horizontal="center" vertical="top" wrapText="1"/>
    </xf>
    <xf numFmtId="41" fontId="80" fillId="0" borderId="30" xfId="2" applyFont="1" applyFill="1" applyBorder="1" applyAlignment="1">
      <alignment vertical="top" wrapText="1"/>
    </xf>
    <xf numFmtId="43" fontId="80" fillId="0" borderId="30" xfId="1" applyFont="1" applyFill="1" applyBorder="1" applyAlignment="1">
      <alignment vertical="top" wrapText="1"/>
    </xf>
    <xf numFmtId="43" fontId="80" fillId="0" borderId="30" xfId="221" applyNumberFormat="1" applyFont="1" applyFill="1" applyBorder="1" applyAlignment="1">
      <alignment vertical="top" wrapText="1"/>
    </xf>
    <xf numFmtId="0" fontId="81" fillId="0" borderId="32" xfId="221" applyFont="1" applyFill="1" applyBorder="1" applyAlignment="1">
      <alignment horizontal="right" vertical="top" wrapText="1"/>
    </xf>
    <xf numFmtId="0" fontId="81" fillId="0" borderId="30" xfId="221" applyFont="1" applyFill="1" applyBorder="1" applyAlignment="1">
      <alignment horizontal="right" vertical="top" wrapText="1"/>
    </xf>
    <xf numFmtId="0" fontId="81" fillId="0" borderId="33" xfId="221" applyFont="1" applyFill="1" applyBorder="1" applyAlignment="1">
      <alignment vertical="top"/>
    </xf>
    <xf numFmtId="41" fontId="81" fillId="0" borderId="30" xfId="221" applyNumberFormat="1" applyFont="1" applyFill="1" applyBorder="1" applyAlignment="1">
      <alignment vertical="top" wrapText="1"/>
    </xf>
    <xf numFmtId="43" fontId="80" fillId="0" borderId="30" xfId="221" applyNumberFormat="1" applyFont="1" applyFill="1" applyBorder="1" applyAlignment="1">
      <alignment vertical="top"/>
    </xf>
    <xf numFmtId="168" fontId="80" fillId="0" borderId="30" xfId="221" applyNumberFormat="1" applyFont="1" applyFill="1" applyBorder="1" applyAlignment="1">
      <alignment vertical="top" wrapText="1"/>
    </xf>
    <xf numFmtId="0" fontId="80" fillId="0" borderId="31" xfId="221" applyFont="1" applyFill="1" applyBorder="1" applyAlignment="1">
      <alignment horizontal="left"/>
    </xf>
    <xf numFmtId="0" fontId="80" fillId="0" borderId="32" xfId="221" applyFont="1" applyFill="1" applyBorder="1" applyAlignment="1">
      <alignment horizontal="left" vertical="top" wrapText="1"/>
    </xf>
    <xf numFmtId="168" fontId="80" fillId="0" borderId="30" xfId="2" applyNumberFormat="1" applyFont="1" applyFill="1" applyBorder="1" applyAlignment="1">
      <alignment vertical="top" wrapText="1"/>
    </xf>
    <xf numFmtId="41" fontId="80" fillId="0" borderId="30" xfId="2" applyFont="1" applyFill="1" applyBorder="1" applyAlignment="1">
      <alignment vertical="top"/>
    </xf>
    <xf numFmtId="168" fontId="80" fillId="0" borderId="32" xfId="221" applyNumberFormat="1" applyFont="1" applyFill="1" applyBorder="1" applyAlignment="1">
      <alignment vertical="top"/>
    </xf>
    <xf numFmtId="0" fontId="13" fillId="0" borderId="32" xfId="221" applyFont="1" applyFill="1" applyBorder="1" applyAlignment="1">
      <alignment horizontal="center" vertical="top" wrapText="1"/>
    </xf>
    <xf numFmtId="41" fontId="13" fillId="0" borderId="30" xfId="221" applyNumberFormat="1" applyFont="1" applyFill="1" applyBorder="1" applyAlignment="1">
      <alignment vertical="top" wrapText="1"/>
    </xf>
    <xf numFmtId="168" fontId="13" fillId="0" borderId="30" xfId="221" applyNumberFormat="1" applyFont="1" applyFill="1" applyBorder="1" applyAlignment="1">
      <alignment vertical="top" wrapText="1"/>
    </xf>
    <xf numFmtId="0" fontId="13" fillId="0" borderId="32" xfId="221" applyFont="1" applyFill="1" applyBorder="1" applyAlignment="1">
      <alignment vertical="top"/>
    </xf>
    <xf numFmtId="0" fontId="13" fillId="0" borderId="0" xfId="221" applyFont="1" applyFill="1" applyAlignment="1">
      <alignment wrapText="1"/>
    </xf>
    <xf numFmtId="0" fontId="13" fillId="0" borderId="0" xfId="221" applyFont="1" applyFill="1"/>
    <xf numFmtId="41" fontId="13" fillId="0" borderId="0" xfId="2" applyFont="1" applyFill="1"/>
    <xf numFmtId="41" fontId="13" fillId="0" borderId="30" xfId="2" applyFont="1" applyFill="1" applyBorder="1" applyAlignment="1">
      <alignment vertical="top" wrapText="1"/>
    </xf>
    <xf numFmtId="0" fontId="13" fillId="0" borderId="0" xfId="221" applyFont="1" applyFill="1" applyAlignment="1"/>
    <xf numFmtId="41" fontId="13" fillId="0" borderId="0" xfId="2" applyFont="1" applyFill="1" applyAlignment="1"/>
    <xf numFmtId="0" fontId="80" fillId="0" borderId="28" xfId="221" applyFont="1" applyFill="1" applyBorder="1" applyAlignment="1">
      <alignment horizontal="center"/>
    </xf>
    <xf numFmtId="0" fontId="80" fillId="0" borderId="25" xfId="221" applyFont="1" applyFill="1" applyBorder="1" applyAlignment="1">
      <alignment horizontal="center"/>
    </xf>
    <xf numFmtId="0" fontId="81" fillId="0" borderId="29" xfId="221" applyFont="1" applyFill="1" applyBorder="1" applyAlignment="1">
      <alignment horizontal="center" vertical="top" wrapText="1"/>
    </xf>
    <xf numFmtId="41" fontId="96" fillId="0" borderId="28" xfId="221" applyNumberFormat="1" applyFont="1" applyFill="1" applyBorder="1" applyAlignment="1">
      <alignment vertical="top" wrapText="1"/>
    </xf>
    <xf numFmtId="168" fontId="96" fillId="0" borderId="28" xfId="221" applyNumberFormat="1" applyFont="1" applyFill="1" applyBorder="1" applyAlignment="1">
      <alignment vertical="top" wrapText="1"/>
    </xf>
    <xf numFmtId="0" fontId="127" fillId="0" borderId="0" xfId="221" applyFont="1" applyFill="1" applyAlignment="1">
      <alignment horizontal="center"/>
    </xf>
    <xf numFmtId="0" fontId="127" fillId="0" borderId="0" xfId="221" applyFont="1" applyFill="1" applyBorder="1" applyAlignment="1">
      <alignment horizontal="center"/>
    </xf>
    <xf numFmtId="41" fontId="127" fillId="0" borderId="0" xfId="221" applyNumberFormat="1" applyFont="1" applyFill="1"/>
    <xf numFmtId="0" fontId="127" fillId="0" borderId="0" xfId="221" applyFont="1" applyFill="1"/>
    <xf numFmtId="41" fontId="127" fillId="0" borderId="0" xfId="2" applyFont="1" applyFill="1"/>
    <xf numFmtId="43" fontId="127" fillId="0" borderId="0" xfId="221" applyNumberFormat="1" applyFont="1" applyFill="1"/>
    <xf numFmtId="0" fontId="128" fillId="0" borderId="0" xfId="376" applyFont="1" applyFill="1" applyAlignment="1">
      <alignment vertical="top"/>
    </xf>
    <xf numFmtId="41" fontId="128" fillId="0" borderId="0" xfId="376" applyNumberFormat="1" applyFont="1" applyFill="1" applyAlignment="1">
      <alignment horizontal="center" vertical="top"/>
    </xf>
    <xf numFmtId="0" fontId="128" fillId="0" borderId="0" xfId="376" applyFont="1" applyFill="1" applyAlignment="1">
      <alignment horizontal="center" vertical="top"/>
    </xf>
    <xf numFmtId="41" fontId="128" fillId="0" borderId="0" xfId="2" applyFont="1" applyFill="1" applyAlignment="1">
      <alignment vertical="top"/>
    </xf>
    <xf numFmtId="0" fontId="128" fillId="0" borderId="0" xfId="376" applyFont="1" applyFill="1">
      <alignment vertical="top"/>
    </xf>
    <xf numFmtId="41" fontId="128" fillId="0" borderId="0" xfId="376" applyNumberFormat="1" applyFont="1" applyFill="1">
      <alignment vertical="top"/>
    </xf>
    <xf numFmtId="0" fontId="130" fillId="0" borderId="0" xfId="376" applyFont="1" applyFill="1" applyAlignment="1">
      <alignment horizontal="center" vertical="top"/>
    </xf>
    <xf numFmtId="166" fontId="80" fillId="0" borderId="32" xfId="221" applyNumberFormat="1" applyFont="1" applyFill="1" applyBorder="1" applyAlignment="1">
      <alignment vertical="top"/>
    </xf>
    <xf numFmtId="166" fontId="81" fillId="0" borderId="32" xfId="221" applyNumberFormat="1" applyFont="1" applyFill="1" applyBorder="1" applyAlignment="1">
      <alignment vertical="top"/>
    </xf>
    <xf numFmtId="166" fontId="81" fillId="0" borderId="64" xfId="221" applyNumberFormat="1" applyFont="1" applyFill="1" applyBorder="1" applyAlignment="1">
      <alignment vertical="top"/>
    </xf>
    <xf numFmtId="168" fontId="17" fillId="0" borderId="0" xfId="2" applyNumberFormat="1" applyFont="1" applyFill="1" applyBorder="1" applyAlignment="1">
      <alignment horizontal="right" vertical="center"/>
    </xf>
    <xf numFmtId="168" fontId="6" fillId="0" borderId="0" xfId="0" applyNumberFormat="1" applyFont="1" applyFill="1"/>
    <xf numFmtId="0" fontId="122" fillId="0" borderId="0" xfId="0" applyFont="1" applyFill="1" applyAlignment="1">
      <alignment vertical="center" wrapText="1"/>
    </xf>
    <xf numFmtId="0" fontId="124" fillId="0" borderId="0" xfId="0" applyFont="1" applyFill="1" applyAlignment="1">
      <alignment horizontal="center" vertical="center" wrapText="1"/>
    </xf>
    <xf numFmtId="0" fontId="125" fillId="0" borderId="0" xfId="0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vertical="center" wrapText="1"/>
    </xf>
    <xf numFmtId="41" fontId="23" fillId="0" borderId="62" xfId="51" applyFont="1" applyFill="1" applyBorder="1" applyAlignment="1">
      <alignment horizontal="center" vertical="center" wrapText="1"/>
    </xf>
    <xf numFmtId="41" fontId="23" fillId="0" borderId="1" xfId="51" applyFont="1" applyFill="1" applyBorder="1" applyAlignment="1">
      <alignment horizontal="center" vertical="center" wrapText="1"/>
    </xf>
    <xf numFmtId="0" fontId="23" fillId="0" borderId="61" xfId="51" applyNumberFormat="1" applyFont="1" applyFill="1" applyBorder="1" applyAlignment="1">
      <alignment horizontal="center" vertical="center" wrapText="1"/>
    </xf>
    <xf numFmtId="0" fontId="23" fillId="0" borderId="1" xfId="51" applyNumberFormat="1" applyFont="1" applyFill="1" applyBorder="1" applyAlignment="1">
      <alignment horizontal="center" vertical="center"/>
    </xf>
    <xf numFmtId="41" fontId="23" fillId="0" borderId="1" xfId="51" applyFont="1" applyFill="1" applyBorder="1" applyAlignment="1">
      <alignment horizontal="center" vertical="center"/>
    </xf>
    <xf numFmtId="41" fontId="23" fillId="0" borderId="1" xfId="51" quotePrefix="1" applyFont="1" applyFill="1" applyBorder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85" fillId="20" borderId="2" xfId="0" applyFont="1" applyFill="1" applyBorder="1" applyAlignment="1">
      <alignment horizontal="center" vertical="center" wrapText="1"/>
    </xf>
    <xf numFmtId="0" fontId="85" fillId="20" borderId="16" xfId="0" applyFont="1" applyFill="1" applyBorder="1" applyAlignment="1">
      <alignment horizontal="center" vertical="center" wrapText="1"/>
    </xf>
    <xf numFmtId="0" fontId="119" fillId="20" borderId="3" xfId="0" applyFont="1" applyFill="1" applyBorder="1" applyAlignment="1">
      <alignment horizontal="center" vertical="center" wrapText="1"/>
    </xf>
    <xf numFmtId="169" fontId="15" fillId="20" borderId="2" xfId="1" applyNumberFormat="1" applyFont="1" applyFill="1" applyBorder="1" applyAlignment="1">
      <alignment horizontal="center" vertical="center" wrapText="1"/>
    </xf>
    <xf numFmtId="169" fontId="15" fillId="20" borderId="16" xfId="1" applyNumberFormat="1" applyFont="1" applyFill="1" applyBorder="1" applyAlignment="1">
      <alignment horizontal="center" vertical="center" wrapText="1"/>
    </xf>
    <xf numFmtId="169" fontId="15" fillId="20" borderId="3" xfId="1" applyNumberFormat="1" applyFont="1" applyFill="1" applyBorder="1" applyAlignment="1">
      <alignment horizontal="center" vertical="center" wrapText="1"/>
    </xf>
    <xf numFmtId="1" fontId="120" fillId="20" borderId="2" xfId="149" applyNumberFormat="1" applyFont="1" applyFill="1" applyBorder="1" applyAlignment="1">
      <alignment horizontal="center" vertical="center" wrapText="1"/>
    </xf>
    <xf numFmtId="1" fontId="120" fillId="20" borderId="16" xfId="149" applyNumberFormat="1" applyFont="1" applyFill="1" applyBorder="1" applyAlignment="1">
      <alignment horizontal="center" vertical="center" wrapText="1"/>
    </xf>
    <xf numFmtId="0" fontId="119" fillId="20" borderId="16" xfId="0" applyFont="1" applyFill="1" applyBorder="1" applyAlignment="1">
      <alignment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15" fillId="20" borderId="3" xfId="0" applyFont="1" applyFill="1" applyBorder="1" applyAlignment="1">
      <alignment horizontal="center" vertical="center" wrapText="1"/>
    </xf>
    <xf numFmtId="0" fontId="85" fillId="20" borderId="52" xfId="0" applyFont="1" applyFill="1" applyBorder="1" applyAlignment="1">
      <alignment horizontal="center" vertical="center" wrapText="1"/>
    </xf>
    <xf numFmtId="0" fontId="85" fillId="20" borderId="33" xfId="0" applyFont="1" applyFill="1" applyBorder="1" applyAlignment="1">
      <alignment horizontal="center" vertical="center" wrapText="1"/>
    </xf>
    <xf numFmtId="0" fontId="85" fillId="20" borderId="34" xfId="0" applyFont="1" applyFill="1" applyBorder="1" applyAlignment="1">
      <alignment horizontal="center" vertical="center" wrapText="1"/>
    </xf>
    <xf numFmtId="0" fontId="85" fillId="20" borderId="3" xfId="0" applyFont="1" applyFill="1" applyBorder="1" applyAlignment="1">
      <alignment horizontal="center" vertical="center" wrapText="1"/>
    </xf>
    <xf numFmtId="0" fontId="85" fillId="20" borderId="1" xfId="0" applyFont="1" applyFill="1" applyBorder="1" applyAlignment="1">
      <alignment horizontal="center" vertical="center" wrapText="1"/>
    </xf>
    <xf numFmtId="0" fontId="85" fillId="20" borderId="1" xfId="0" applyFont="1" applyFill="1" applyBorder="1" applyAlignment="1">
      <alignment horizontal="center" vertical="center"/>
    </xf>
    <xf numFmtId="0" fontId="114" fillId="0" borderId="33" xfId="0" applyFont="1" applyFill="1" applyBorder="1" applyAlignment="1">
      <alignment horizontal="center" vertical="center"/>
    </xf>
    <xf numFmtId="41" fontId="113" fillId="0" borderId="53" xfId="2" applyFont="1" applyFill="1" applyBorder="1" applyAlignment="1">
      <alignment horizontal="center" vertical="center"/>
    </xf>
    <xf numFmtId="41" fontId="115" fillId="0" borderId="53" xfId="2" quotePrefix="1" applyFont="1" applyFill="1" applyBorder="1" applyAlignment="1">
      <alignment horizontal="center" vertical="center"/>
    </xf>
    <xf numFmtId="0" fontId="99" fillId="20" borderId="52" xfId="0" applyNumberFormat="1" applyFont="1" applyFill="1" applyBorder="1" applyAlignment="1">
      <alignment horizontal="center" vertical="center"/>
    </xf>
    <xf numFmtId="0" fontId="99" fillId="20" borderId="34" xfId="0" applyNumberFormat="1" applyFont="1" applyFill="1" applyBorder="1" applyAlignment="1">
      <alignment horizontal="center" vertical="center"/>
    </xf>
    <xf numFmtId="0" fontId="86" fillId="20" borderId="52" xfId="1" applyNumberFormat="1" applyFont="1" applyFill="1" applyBorder="1" applyAlignment="1">
      <alignment horizontal="center" vertical="center"/>
    </xf>
    <xf numFmtId="0" fontId="86" fillId="20" borderId="34" xfId="1" applyNumberFormat="1" applyFont="1" applyFill="1" applyBorder="1" applyAlignment="1">
      <alignment horizontal="center" vertical="center"/>
    </xf>
    <xf numFmtId="0" fontId="15" fillId="20" borderId="52" xfId="0" applyNumberFormat="1" applyFont="1" applyFill="1" applyBorder="1" applyAlignment="1">
      <alignment horizontal="center" vertical="center" wrapText="1"/>
    </xf>
    <xf numFmtId="0" fontId="15" fillId="20" borderId="34" xfId="0" applyNumberFormat="1" applyFont="1" applyFill="1" applyBorder="1" applyAlignment="1">
      <alignment horizontal="center" vertical="center" wrapText="1"/>
    </xf>
    <xf numFmtId="0" fontId="86" fillId="20" borderId="52" xfId="0" applyNumberFormat="1" applyFont="1" applyFill="1" applyBorder="1" applyAlignment="1">
      <alignment horizontal="center" vertical="center"/>
    </xf>
    <xf numFmtId="0" fontId="86" fillId="20" borderId="34" xfId="0" applyNumberFormat="1" applyFont="1" applyFill="1" applyBorder="1" applyAlignment="1">
      <alignment horizontal="center" vertical="center"/>
    </xf>
    <xf numFmtId="41" fontId="118" fillId="0" borderId="0" xfId="2" applyNumberFormat="1" applyFont="1" applyAlignment="1">
      <alignment horizontal="center" vertical="center"/>
    </xf>
    <xf numFmtId="41" fontId="85" fillId="20" borderId="1" xfId="2" applyNumberFormat="1" applyFont="1" applyFill="1" applyBorder="1" applyAlignment="1">
      <alignment horizontal="center" vertical="center" wrapText="1"/>
    </xf>
    <xf numFmtId="41" fontId="85" fillId="20" borderId="2" xfId="2" applyNumberFormat="1" applyFont="1" applyFill="1" applyBorder="1" applyAlignment="1">
      <alignment horizontal="center" vertical="center" wrapText="1"/>
    </xf>
    <xf numFmtId="41" fontId="85" fillId="20" borderId="3" xfId="2" applyNumberFormat="1" applyFont="1" applyFill="1" applyBorder="1" applyAlignment="1">
      <alignment horizontal="center" vertical="center" wrapText="1"/>
    </xf>
    <xf numFmtId="41" fontId="85" fillId="20" borderId="1" xfId="2" applyNumberFormat="1" applyFont="1" applyFill="1" applyBorder="1" applyAlignment="1">
      <alignment horizontal="center" vertical="center"/>
    </xf>
    <xf numFmtId="41" fontId="85" fillId="20" borderId="52" xfId="2" applyNumberFormat="1" applyFont="1" applyFill="1" applyBorder="1" applyAlignment="1">
      <alignment horizontal="center" vertical="center" wrapText="1"/>
    </xf>
    <xf numFmtId="41" fontId="85" fillId="20" borderId="33" xfId="2" applyNumberFormat="1" applyFont="1" applyFill="1" applyBorder="1" applyAlignment="1">
      <alignment horizontal="center" vertical="center" wrapText="1"/>
    </xf>
    <xf numFmtId="41" fontId="85" fillId="20" borderId="34" xfId="2" applyNumberFormat="1" applyFont="1" applyFill="1" applyBorder="1" applyAlignment="1">
      <alignment horizontal="center" vertical="center" wrapText="1"/>
    </xf>
    <xf numFmtId="41" fontId="85" fillId="20" borderId="16" xfId="2" applyNumberFormat="1" applyFont="1" applyFill="1" applyBorder="1" applyAlignment="1">
      <alignment horizontal="center" vertical="center" wrapText="1"/>
    </xf>
    <xf numFmtId="41" fontId="119" fillId="20" borderId="3" xfId="2" applyNumberFormat="1" applyFont="1" applyFill="1" applyBorder="1" applyAlignment="1">
      <alignment horizontal="center" vertical="center" wrapText="1"/>
    </xf>
    <xf numFmtId="41" fontId="15" fillId="20" borderId="2" xfId="2" applyNumberFormat="1" applyFont="1" applyFill="1" applyBorder="1" applyAlignment="1">
      <alignment horizontal="center" vertical="center" wrapText="1"/>
    </xf>
    <xf numFmtId="41" fontId="15" fillId="20" borderId="16" xfId="2" applyNumberFormat="1" applyFont="1" applyFill="1" applyBorder="1" applyAlignment="1">
      <alignment horizontal="center" vertical="center" wrapText="1"/>
    </xf>
    <xf numFmtId="41" fontId="15" fillId="20" borderId="3" xfId="2" applyNumberFormat="1" applyFont="1" applyFill="1" applyBorder="1" applyAlignment="1">
      <alignment horizontal="center" vertical="center" wrapText="1"/>
    </xf>
    <xf numFmtId="41" fontId="120" fillId="20" borderId="2" xfId="2" applyNumberFormat="1" applyFont="1" applyFill="1" applyBorder="1" applyAlignment="1">
      <alignment horizontal="center" vertical="center" wrapText="1"/>
    </xf>
    <xf numFmtId="41" fontId="120" fillId="20" borderId="16" xfId="2" applyNumberFormat="1" applyFont="1" applyFill="1" applyBorder="1" applyAlignment="1">
      <alignment horizontal="center" vertical="center" wrapText="1"/>
    </xf>
    <xf numFmtId="41" fontId="119" fillId="20" borderId="16" xfId="2" applyNumberFormat="1" applyFont="1" applyFill="1" applyBorder="1" applyAlignment="1">
      <alignment vertical="center" wrapText="1"/>
    </xf>
    <xf numFmtId="41" fontId="114" fillId="0" borderId="33" xfId="2" applyNumberFormat="1" applyFont="1" applyFill="1" applyBorder="1" applyAlignment="1">
      <alignment horizontal="center" vertical="center"/>
    </xf>
    <xf numFmtId="41" fontId="113" fillId="0" borderId="53" xfId="2" applyNumberFormat="1" applyFont="1" applyFill="1" applyBorder="1" applyAlignment="1">
      <alignment horizontal="center" vertical="center"/>
    </xf>
    <xf numFmtId="41" fontId="115" fillId="0" borderId="53" xfId="2" quotePrefix="1" applyNumberFormat="1" applyFont="1" applyFill="1" applyBorder="1" applyAlignment="1">
      <alignment horizontal="center" vertical="center"/>
    </xf>
    <xf numFmtId="41" fontId="86" fillId="20" borderId="52" xfId="2" applyNumberFormat="1" applyFont="1" applyFill="1" applyBorder="1" applyAlignment="1">
      <alignment horizontal="center" vertical="center"/>
    </xf>
    <xf numFmtId="41" fontId="86" fillId="20" borderId="34" xfId="2" applyNumberFormat="1" applyFont="1" applyFill="1" applyBorder="1" applyAlignment="1">
      <alignment horizontal="center" vertical="center"/>
    </xf>
    <xf numFmtId="41" fontId="15" fillId="20" borderId="52" xfId="2" applyNumberFormat="1" applyFont="1" applyFill="1" applyBorder="1" applyAlignment="1">
      <alignment horizontal="center" vertical="center" wrapText="1"/>
    </xf>
    <xf numFmtId="41" fontId="15" fillId="20" borderId="34" xfId="2" applyNumberFormat="1" applyFont="1" applyFill="1" applyBorder="1" applyAlignment="1">
      <alignment horizontal="center" vertical="center" wrapText="1"/>
    </xf>
    <xf numFmtId="41" fontId="99" fillId="20" borderId="52" xfId="2" applyNumberFormat="1" applyFont="1" applyFill="1" applyBorder="1" applyAlignment="1">
      <alignment horizontal="center" vertical="center"/>
    </xf>
    <xf numFmtId="41" fontId="99" fillId="20" borderId="34" xfId="2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168" fontId="72" fillId="0" borderId="0" xfId="0" applyNumberFormat="1" applyFont="1" applyFill="1" applyAlignment="1">
      <alignment horizontal="center" vertical="center" wrapText="1"/>
    </xf>
    <xf numFmtId="0" fontId="20" fillId="17" borderId="2" xfId="0" applyFont="1" applyFill="1" applyBorder="1" applyAlignment="1">
      <alignment horizontal="center" vertical="center" wrapText="1"/>
    </xf>
    <xf numFmtId="0" fontId="20" fillId="17" borderId="16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41" fontId="20" fillId="17" borderId="2" xfId="0" applyNumberFormat="1" applyFont="1" applyFill="1" applyBorder="1" applyAlignment="1">
      <alignment horizontal="center" vertical="center" wrapText="1"/>
    </xf>
    <xf numFmtId="41" fontId="20" fillId="17" borderId="16" xfId="0" applyNumberFormat="1" applyFont="1" applyFill="1" applyBorder="1" applyAlignment="1">
      <alignment horizontal="center" vertical="center" wrapText="1"/>
    </xf>
    <xf numFmtId="41" fontId="20" fillId="17" borderId="3" xfId="0" applyNumberFormat="1" applyFont="1" applyFill="1" applyBorder="1" applyAlignment="1">
      <alignment horizontal="center" vertical="center" wrapText="1"/>
    </xf>
    <xf numFmtId="0" fontId="20" fillId="17" borderId="52" xfId="0" applyFont="1" applyFill="1" applyBorder="1" applyAlignment="1">
      <alignment horizontal="center" vertical="center" wrapText="1"/>
    </xf>
    <xf numFmtId="0" fontId="20" fillId="17" borderId="33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3" fillId="17" borderId="52" xfId="0" applyFont="1" applyFill="1" applyBorder="1" applyAlignment="1">
      <alignment horizontal="center" vertical="center"/>
    </xf>
    <xf numFmtId="0" fontId="23" fillId="17" borderId="34" xfId="0" applyFont="1" applyFill="1" applyBorder="1" applyAlignment="1">
      <alignment horizontal="center" vertical="center"/>
    </xf>
    <xf numFmtId="0" fontId="70" fillId="0" borderId="0" xfId="376" applyFont="1" applyAlignment="1">
      <alignment horizontal="center" vertical="top"/>
    </xf>
    <xf numFmtId="0" fontId="69" fillId="0" borderId="0" xfId="376" applyFont="1" applyAlignment="1">
      <alignment horizontal="center" vertical="top"/>
    </xf>
    <xf numFmtId="0" fontId="71" fillId="0" borderId="0" xfId="376" applyFont="1" applyAlignment="1">
      <alignment horizontal="center" vertical="top"/>
    </xf>
    <xf numFmtId="0" fontId="73" fillId="0" borderId="0" xfId="149" applyFont="1" applyAlignment="1">
      <alignment horizontal="center" vertical="center"/>
    </xf>
    <xf numFmtId="0" fontId="78" fillId="0" borderId="1" xfId="149" applyFont="1" applyBorder="1" applyAlignment="1">
      <alignment horizontal="center" vertical="center"/>
    </xf>
    <xf numFmtId="0" fontId="78" fillId="0" borderId="1" xfId="149" applyFont="1" applyBorder="1" applyAlignment="1">
      <alignment horizontal="center" vertical="center" wrapText="1"/>
    </xf>
    <xf numFmtId="0" fontId="78" fillId="0" borderId="2" xfId="149" applyFont="1" applyBorder="1" applyAlignment="1">
      <alignment horizontal="center" vertical="center" wrapText="1"/>
    </xf>
    <xf numFmtId="0" fontId="78" fillId="0" borderId="3" xfId="149" applyFont="1" applyBorder="1" applyAlignment="1">
      <alignment horizontal="center" vertical="center" wrapText="1"/>
    </xf>
    <xf numFmtId="0" fontId="78" fillId="0" borderId="52" xfId="149" applyFont="1" applyBorder="1" applyAlignment="1">
      <alignment horizontal="center" vertical="center" wrapText="1"/>
    </xf>
    <xf numFmtId="0" fontId="78" fillId="0" borderId="34" xfId="149" applyFont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6" fillId="13" borderId="41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52" xfId="0" applyFont="1" applyFill="1" applyBorder="1" applyAlignment="1">
      <alignment horizontal="center"/>
    </xf>
    <xf numFmtId="0" fontId="6" fillId="13" borderId="33" xfId="0" applyFont="1" applyFill="1" applyBorder="1" applyAlignment="1">
      <alignment horizontal="center"/>
    </xf>
    <xf numFmtId="0" fontId="6" fillId="13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15" borderId="52" xfId="0" applyFont="1" applyFill="1" applyBorder="1" applyAlignment="1">
      <alignment horizontal="center" vertical="center"/>
    </xf>
    <xf numFmtId="0" fontId="6" fillId="15" borderId="33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/>
    </xf>
    <xf numFmtId="0" fontId="6" fillId="10" borderId="52" xfId="0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6" fillId="10" borderId="3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5" fillId="9" borderId="0" xfId="0" applyFont="1" applyFill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2" fillId="9" borderId="0" xfId="0" quotePrefix="1" applyFont="1" applyFill="1" applyAlignment="1">
      <alignment horizontal="center"/>
    </xf>
    <xf numFmtId="0" fontId="62" fillId="9" borderId="0" xfId="0" applyFont="1" applyFill="1" applyAlignment="1">
      <alignment horizontal="center"/>
    </xf>
    <xf numFmtId="0" fontId="4" fillId="0" borderId="0" xfId="376" applyFont="1" applyAlignment="1">
      <alignment horizontal="center" vertical="top"/>
    </xf>
    <xf numFmtId="0" fontId="6" fillId="0" borderId="0" xfId="376" applyFont="1" applyAlignment="1">
      <alignment horizontal="center" vertical="top"/>
    </xf>
    <xf numFmtId="0" fontId="66" fillId="0" borderId="0" xfId="376" applyFont="1" applyAlignment="1">
      <alignment horizontal="center" vertical="top"/>
    </xf>
    <xf numFmtId="0" fontId="6" fillId="0" borderId="39" xfId="0" applyFont="1" applyFill="1" applyBorder="1" applyAlignment="1">
      <alignment horizontal="right"/>
    </xf>
    <xf numFmtId="0" fontId="6" fillId="0" borderId="54" xfId="0" applyFont="1" applyFill="1" applyBorder="1" applyAlignment="1">
      <alignment horizontal="right"/>
    </xf>
    <xf numFmtId="0" fontId="11" fillId="0" borderId="40" xfId="0" applyFont="1" applyBorder="1" applyAlignment="1">
      <alignment horizontal="center"/>
    </xf>
    <xf numFmtId="0" fontId="121" fillId="9" borderId="0" xfId="0" applyFont="1" applyFill="1" applyAlignment="1">
      <alignment horizontal="center"/>
    </xf>
    <xf numFmtId="0" fontId="67" fillId="0" borderId="0" xfId="376" applyFont="1" applyAlignment="1">
      <alignment horizontal="center" vertical="top"/>
    </xf>
    <xf numFmtId="0" fontId="68" fillId="0" borderId="0" xfId="376" applyFont="1" applyAlignment="1">
      <alignment horizontal="center" vertical="top"/>
    </xf>
    <xf numFmtId="0" fontId="60" fillId="0" borderId="0" xfId="376" applyFont="1" applyAlignment="1">
      <alignment horizontal="center" vertical="top"/>
    </xf>
    <xf numFmtId="0" fontId="85" fillId="0" borderId="0" xfId="221" applyFont="1" applyAlignment="1">
      <alignment horizontal="center"/>
    </xf>
    <xf numFmtId="0" fontId="92" fillId="0" borderId="55" xfId="221" applyFont="1" applyBorder="1" applyAlignment="1">
      <alignment horizontal="center" vertical="center" wrapText="1"/>
    </xf>
    <xf numFmtId="0" fontId="92" fillId="0" borderId="26" xfId="221" applyFont="1" applyBorder="1" applyAlignment="1">
      <alignment horizontal="center" vertical="center" wrapText="1"/>
    </xf>
    <xf numFmtId="0" fontId="92" fillId="0" borderId="28" xfId="221" applyFont="1" applyBorder="1" applyAlignment="1">
      <alignment horizontal="center" vertical="center" wrapText="1"/>
    </xf>
    <xf numFmtId="0" fontId="92" fillId="0" borderId="23" xfId="221" applyFont="1" applyBorder="1" applyAlignment="1">
      <alignment horizontal="center" vertical="center" wrapText="1"/>
    </xf>
    <xf numFmtId="0" fontId="92" fillId="0" borderId="56" xfId="221" applyFont="1" applyBorder="1" applyAlignment="1">
      <alignment horizontal="center" vertical="center" wrapText="1"/>
    </xf>
    <xf numFmtId="0" fontId="92" fillId="0" borderId="24" xfId="221" applyFont="1" applyBorder="1" applyAlignment="1">
      <alignment horizontal="center" vertical="center" wrapText="1"/>
    </xf>
    <xf numFmtId="0" fontId="92" fillId="0" borderId="27" xfId="221" applyFont="1" applyBorder="1" applyAlignment="1">
      <alignment horizontal="center" vertical="center" wrapText="1"/>
    </xf>
    <xf numFmtId="0" fontId="92" fillId="0" borderId="25" xfId="221" applyFont="1" applyBorder="1" applyAlignment="1">
      <alignment horizontal="center" vertical="center" wrapText="1"/>
    </xf>
    <xf numFmtId="0" fontId="92" fillId="0" borderId="29" xfId="221" applyFont="1" applyBorder="1" applyAlignment="1">
      <alignment horizontal="center" vertical="center" wrapText="1"/>
    </xf>
    <xf numFmtId="0" fontId="131" fillId="0" borderId="0" xfId="376" applyFont="1" applyFill="1" applyAlignment="1">
      <alignment horizontal="center" vertical="top"/>
    </xf>
    <xf numFmtId="0" fontId="81" fillId="0" borderId="0" xfId="221" applyFont="1" applyFill="1" applyAlignment="1">
      <alignment horizontal="center"/>
    </xf>
    <xf numFmtId="0" fontId="130" fillId="0" borderId="0" xfId="376" applyFont="1" applyFill="1" applyAlignment="1">
      <alignment horizontal="center" vertical="top"/>
    </xf>
    <xf numFmtId="0" fontId="81" fillId="0" borderId="55" xfId="221" applyFont="1" applyFill="1" applyBorder="1" applyAlignment="1">
      <alignment horizontal="center" vertical="center" wrapText="1"/>
    </xf>
    <xf numFmtId="0" fontId="81" fillId="0" borderId="26" xfId="221" applyFont="1" applyFill="1" applyBorder="1" applyAlignment="1">
      <alignment horizontal="center" vertical="center" wrapText="1"/>
    </xf>
    <xf numFmtId="0" fontId="81" fillId="0" borderId="28" xfId="221" applyFont="1" applyFill="1" applyBorder="1" applyAlignment="1">
      <alignment horizontal="center" vertical="center" wrapText="1"/>
    </xf>
    <xf numFmtId="0" fontId="128" fillId="0" borderId="0" xfId="376" applyFont="1" applyFill="1" applyAlignment="1">
      <alignment horizontal="center" vertical="top"/>
    </xf>
    <xf numFmtId="0" fontId="81" fillId="0" borderId="23" xfId="221" applyFont="1" applyFill="1" applyBorder="1" applyAlignment="1">
      <alignment horizontal="center" vertical="center" wrapText="1"/>
    </xf>
    <xf numFmtId="0" fontId="81" fillId="0" borderId="56" xfId="221" applyFont="1" applyFill="1" applyBorder="1" applyAlignment="1">
      <alignment horizontal="center" vertical="center" wrapText="1"/>
    </xf>
    <xf numFmtId="0" fontId="81" fillId="0" borderId="24" xfId="221" applyFont="1" applyFill="1" applyBorder="1" applyAlignment="1">
      <alignment horizontal="center" vertical="center" wrapText="1"/>
    </xf>
    <xf numFmtId="0" fontId="81" fillId="0" borderId="27" xfId="221" applyFont="1" applyFill="1" applyBorder="1" applyAlignment="1">
      <alignment horizontal="center" vertical="center" wrapText="1"/>
    </xf>
    <xf numFmtId="0" fontId="81" fillId="0" borderId="25" xfId="221" applyFont="1" applyFill="1" applyBorder="1" applyAlignment="1">
      <alignment horizontal="center" vertical="center" wrapText="1"/>
    </xf>
    <xf numFmtId="0" fontId="81" fillId="0" borderId="29" xfId="221" applyFont="1" applyFill="1" applyBorder="1" applyAlignment="1">
      <alignment horizontal="center" vertical="center" wrapText="1"/>
    </xf>
    <xf numFmtId="0" fontId="80" fillId="0" borderId="24" xfId="221" applyFont="1" applyFill="1" applyBorder="1" applyAlignment="1">
      <alignment horizontal="center" vertical="center" wrapText="1"/>
    </xf>
    <xf numFmtId="0" fontId="81" fillId="0" borderId="57" xfId="221" applyFont="1" applyFill="1" applyBorder="1" applyAlignment="1">
      <alignment horizontal="center" vertical="center" wrapText="1"/>
    </xf>
    <xf numFmtId="0" fontId="81" fillId="0" borderId="58" xfId="221" applyFont="1" applyFill="1" applyBorder="1" applyAlignment="1">
      <alignment horizontal="center" vertical="center" wrapText="1"/>
    </xf>
    <xf numFmtId="0" fontId="81" fillId="0" borderId="59" xfId="22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41" fontId="79" fillId="0" borderId="0" xfId="2" applyFont="1" applyAlignment="1">
      <alignment horizontal="center"/>
    </xf>
  </cellXfs>
  <cellStyles count="568">
    <cellStyle name="Comma" xfId="1" builtinId="3"/>
    <cellStyle name="Comma [0]" xfId="2" builtinId="6"/>
    <cellStyle name="Comma [0] 10" xfId="3" xr:uid="{00000000-0005-0000-0000-000002000000}"/>
    <cellStyle name="Comma [0] 10 2" xfId="4" xr:uid="{00000000-0005-0000-0000-000003000000}"/>
    <cellStyle name="Comma [0] 10 3" xfId="5" xr:uid="{00000000-0005-0000-0000-000004000000}"/>
    <cellStyle name="Comma [0] 11" xfId="6" xr:uid="{00000000-0005-0000-0000-000005000000}"/>
    <cellStyle name="Comma [0] 12" xfId="7" xr:uid="{00000000-0005-0000-0000-000006000000}"/>
    <cellStyle name="Comma [0] 12 2" xfId="8" xr:uid="{00000000-0005-0000-0000-000007000000}"/>
    <cellStyle name="Comma [0] 12 3" xfId="9" xr:uid="{00000000-0005-0000-0000-000008000000}"/>
    <cellStyle name="Comma [0] 13" xfId="10" xr:uid="{00000000-0005-0000-0000-000009000000}"/>
    <cellStyle name="Comma [0] 13 3" xfId="11" xr:uid="{00000000-0005-0000-0000-00000A000000}"/>
    <cellStyle name="Comma [0] 14" xfId="12" xr:uid="{00000000-0005-0000-0000-00000B000000}"/>
    <cellStyle name="Comma [0] 15" xfId="13" xr:uid="{00000000-0005-0000-0000-00000C000000}"/>
    <cellStyle name="Comma [0] 16" xfId="14" xr:uid="{00000000-0005-0000-0000-00000D000000}"/>
    <cellStyle name="Comma [0] 17" xfId="15" xr:uid="{00000000-0005-0000-0000-00000E000000}"/>
    <cellStyle name="Comma [0] 18" xfId="16" xr:uid="{00000000-0005-0000-0000-00000F000000}"/>
    <cellStyle name="Comma [0] 19" xfId="17" xr:uid="{00000000-0005-0000-0000-000010000000}"/>
    <cellStyle name="Comma [0] 2" xfId="18" xr:uid="{00000000-0005-0000-0000-000011000000}"/>
    <cellStyle name="Comma [0] 2 10" xfId="19" xr:uid="{00000000-0005-0000-0000-000012000000}"/>
    <cellStyle name="Comma [0] 2 2" xfId="20" xr:uid="{00000000-0005-0000-0000-000013000000}"/>
    <cellStyle name="Comma [0] 2 2 2" xfId="21" xr:uid="{00000000-0005-0000-0000-000014000000}"/>
    <cellStyle name="Comma [0] 2 3" xfId="22" xr:uid="{00000000-0005-0000-0000-000015000000}"/>
    <cellStyle name="Comma [0] 2 4" xfId="23" xr:uid="{00000000-0005-0000-0000-000016000000}"/>
    <cellStyle name="Comma [0] 2 5" xfId="24" xr:uid="{00000000-0005-0000-0000-000017000000}"/>
    <cellStyle name="Comma [0] 2 6" xfId="25" xr:uid="{00000000-0005-0000-0000-000018000000}"/>
    <cellStyle name="Comma [0] 20" xfId="26" xr:uid="{00000000-0005-0000-0000-000019000000}"/>
    <cellStyle name="Comma [0] 21" xfId="27" xr:uid="{00000000-0005-0000-0000-00001A000000}"/>
    <cellStyle name="Comma [0] 22" xfId="28" xr:uid="{00000000-0005-0000-0000-00001B000000}"/>
    <cellStyle name="Comma [0] 23" xfId="29" xr:uid="{00000000-0005-0000-0000-00001C000000}"/>
    <cellStyle name="Comma [0] 24" xfId="30" xr:uid="{00000000-0005-0000-0000-00001D000000}"/>
    <cellStyle name="Comma [0] 25" xfId="31" xr:uid="{00000000-0005-0000-0000-00001E000000}"/>
    <cellStyle name="Comma [0] 26" xfId="32" xr:uid="{00000000-0005-0000-0000-00001F000000}"/>
    <cellStyle name="Comma [0] 27" xfId="33" xr:uid="{00000000-0005-0000-0000-000020000000}"/>
    <cellStyle name="Comma [0] 28" xfId="34" xr:uid="{00000000-0005-0000-0000-000021000000}"/>
    <cellStyle name="Comma [0] 29" xfId="35" xr:uid="{00000000-0005-0000-0000-000022000000}"/>
    <cellStyle name="Comma [0] 3" xfId="36" xr:uid="{00000000-0005-0000-0000-000023000000}"/>
    <cellStyle name="Comma [0] 3 100" xfId="37" xr:uid="{00000000-0005-0000-0000-000024000000}"/>
    <cellStyle name="Comma [0] 3 124" xfId="38" xr:uid="{00000000-0005-0000-0000-000025000000}"/>
    <cellStyle name="Comma [0] 3 2" xfId="39" xr:uid="{00000000-0005-0000-0000-000026000000}"/>
    <cellStyle name="Comma [0] 3 3" xfId="40" xr:uid="{00000000-0005-0000-0000-000027000000}"/>
    <cellStyle name="Comma [0] 3 3 2" xfId="41" xr:uid="{00000000-0005-0000-0000-000028000000}"/>
    <cellStyle name="Comma [0] 3 4" xfId="42" xr:uid="{00000000-0005-0000-0000-000029000000}"/>
    <cellStyle name="Comma [0] 3 5" xfId="43" xr:uid="{00000000-0005-0000-0000-00002A000000}"/>
    <cellStyle name="Comma [0] 3 74" xfId="44" xr:uid="{00000000-0005-0000-0000-00002B000000}"/>
    <cellStyle name="Comma [0] 30" xfId="45" xr:uid="{00000000-0005-0000-0000-00002C000000}"/>
    <cellStyle name="Comma [0] 31" xfId="46" xr:uid="{00000000-0005-0000-0000-00002D000000}"/>
    <cellStyle name="Comma [0] 32" xfId="47" xr:uid="{00000000-0005-0000-0000-00002E000000}"/>
    <cellStyle name="Comma [0] 33" xfId="48" xr:uid="{00000000-0005-0000-0000-00002F000000}"/>
    <cellStyle name="Comma [0] 34" xfId="49" xr:uid="{00000000-0005-0000-0000-000030000000}"/>
    <cellStyle name="Comma [0] 35" xfId="50" xr:uid="{00000000-0005-0000-0000-000031000000}"/>
    <cellStyle name="Comma [0] 36" xfId="51" xr:uid="{00000000-0005-0000-0000-000032000000}"/>
    <cellStyle name="Comma [0] 37" xfId="52" xr:uid="{00000000-0005-0000-0000-000033000000}"/>
    <cellStyle name="Comma [0] 38" xfId="53" xr:uid="{00000000-0005-0000-0000-000034000000}"/>
    <cellStyle name="Comma [0] 39" xfId="54" xr:uid="{00000000-0005-0000-0000-000035000000}"/>
    <cellStyle name="Comma [0] 4" xfId="55" xr:uid="{00000000-0005-0000-0000-000036000000}"/>
    <cellStyle name="Comma [0] 4 2" xfId="56" xr:uid="{00000000-0005-0000-0000-000037000000}"/>
    <cellStyle name="Comma [0] 4 3" xfId="57" xr:uid="{00000000-0005-0000-0000-000038000000}"/>
    <cellStyle name="Comma [0] 40" xfId="58" xr:uid="{00000000-0005-0000-0000-000039000000}"/>
    <cellStyle name="Comma [0] 41" xfId="59" xr:uid="{00000000-0005-0000-0000-00003A000000}"/>
    <cellStyle name="Comma [0] 42" xfId="60" xr:uid="{00000000-0005-0000-0000-00003B000000}"/>
    <cellStyle name="Comma [0] 5" xfId="61" xr:uid="{00000000-0005-0000-0000-00003C000000}"/>
    <cellStyle name="Comma [0] 5 2" xfId="62" xr:uid="{00000000-0005-0000-0000-00003D000000}"/>
    <cellStyle name="Comma [0] 6" xfId="63" xr:uid="{00000000-0005-0000-0000-00003E000000}"/>
    <cellStyle name="Comma [0] 6 2" xfId="64" xr:uid="{00000000-0005-0000-0000-00003F000000}"/>
    <cellStyle name="Comma [0] 7" xfId="65" xr:uid="{00000000-0005-0000-0000-000040000000}"/>
    <cellStyle name="Comma [0] 8" xfId="66" xr:uid="{00000000-0005-0000-0000-000041000000}"/>
    <cellStyle name="Comma [0] 9" xfId="67" xr:uid="{00000000-0005-0000-0000-000042000000}"/>
    <cellStyle name="Comma 10" xfId="68" xr:uid="{00000000-0005-0000-0000-000043000000}"/>
    <cellStyle name="Comma 10 2" xfId="69" xr:uid="{00000000-0005-0000-0000-000044000000}"/>
    <cellStyle name="Comma 11" xfId="70" xr:uid="{00000000-0005-0000-0000-000045000000}"/>
    <cellStyle name="Comma 12" xfId="71" xr:uid="{00000000-0005-0000-0000-000046000000}"/>
    <cellStyle name="Comma 13" xfId="72" xr:uid="{00000000-0005-0000-0000-000047000000}"/>
    <cellStyle name="Comma 14" xfId="73" xr:uid="{00000000-0005-0000-0000-000048000000}"/>
    <cellStyle name="Comma 15" xfId="74" xr:uid="{00000000-0005-0000-0000-000049000000}"/>
    <cellStyle name="Comma 16" xfId="75" xr:uid="{00000000-0005-0000-0000-00004A000000}"/>
    <cellStyle name="Comma 17" xfId="76" xr:uid="{00000000-0005-0000-0000-00004B000000}"/>
    <cellStyle name="Comma 18" xfId="77" xr:uid="{00000000-0005-0000-0000-00004C000000}"/>
    <cellStyle name="Comma 19" xfId="78" xr:uid="{00000000-0005-0000-0000-00004D000000}"/>
    <cellStyle name="Comma 2" xfId="79" xr:uid="{00000000-0005-0000-0000-00004E000000}"/>
    <cellStyle name="Comma 2 10" xfId="80" xr:uid="{00000000-0005-0000-0000-00004F000000}"/>
    <cellStyle name="Comma 2 15" xfId="81" xr:uid="{00000000-0005-0000-0000-000050000000}"/>
    <cellStyle name="Comma 2 2" xfId="82" xr:uid="{00000000-0005-0000-0000-000051000000}"/>
    <cellStyle name="Comma 2 2 2" xfId="83" xr:uid="{00000000-0005-0000-0000-000052000000}"/>
    <cellStyle name="Comma 2 3" xfId="84" xr:uid="{00000000-0005-0000-0000-000053000000}"/>
    <cellStyle name="Comma 2 3 2" xfId="85" xr:uid="{00000000-0005-0000-0000-000054000000}"/>
    <cellStyle name="Comma 2 4" xfId="86" xr:uid="{00000000-0005-0000-0000-000055000000}"/>
    <cellStyle name="Comma 2 76" xfId="87" xr:uid="{00000000-0005-0000-0000-000056000000}"/>
    <cellStyle name="Comma 20" xfId="88" xr:uid="{00000000-0005-0000-0000-000057000000}"/>
    <cellStyle name="Comma 21" xfId="89" xr:uid="{00000000-0005-0000-0000-000058000000}"/>
    <cellStyle name="Comma 22" xfId="90" xr:uid="{00000000-0005-0000-0000-000059000000}"/>
    <cellStyle name="Comma 23" xfId="91" xr:uid="{00000000-0005-0000-0000-00005A000000}"/>
    <cellStyle name="Comma 24" xfId="92" xr:uid="{00000000-0005-0000-0000-00005B000000}"/>
    <cellStyle name="Comma 25" xfId="93" xr:uid="{00000000-0005-0000-0000-00005C000000}"/>
    <cellStyle name="Comma 26" xfId="94" xr:uid="{00000000-0005-0000-0000-00005D000000}"/>
    <cellStyle name="Comma 27" xfId="95" xr:uid="{00000000-0005-0000-0000-00005E000000}"/>
    <cellStyle name="Comma 3" xfId="96" xr:uid="{00000000-0005-0000-0000-00005F000000}"/>
    <cellStyle name="Comma 3 2" xfId="97" xr:uid="{00000000-0005-0000-0000-000060000000}"/>
    <cellStyle name="Comma 3 2 3" xfId="98" xr:uid="{00000000-0005-0000-0000-000061000000}"/>
    <cellStyle name="Comma 3 2 3 2" xfId="99" xr:uid="{00000000-0005-0000-0000-000062000000}"/>
    <cellStyle name="Comma 3 3" xfId="100" xr:uid="{00000000-0005-0000-0000-000063000000}"/>
    <cellStyle name="Comma 3 3 2" xfId="101" xr:uid="{00000000-0005-0000-0000-000064000000}"/>
    <cellStyle name="Comma 3 4" xfId="102" xr:uid="{00000000-0005-0000-0000-000065000000}"/>
    <cellStyle name="Comma 30" xfId="103" xr:uid="{00000000-0005-0000-0000-000066000000}"/>
    <cellStyle name="Comma 37" xfId="104" xr:uid="{00000000-0005-0000-0000-000067000000}"/>
    <cellStyle name="Comma 4" xfId="105" xr:uid="{00000000-0005-0000-0000-000068000000}"/>
    <cellStyle name="Comma 4 2" xfId="106" xr:uid="{00000000-0005-0000-0000-000069000000}"/>
    <cellStyle name="Comma 4 2 2" xfId="107" xr:uid="{00000000-0005-0000-0000-00006A000000}"/>
    <cellStyle name="Comma 4 3" xfId="108" xr:uid="{00000000-0005-0000-0000-00006B000000}"/>
    <cellStyle name="Comma 4 4" xfId="109" xr:uid="{00000000-0005-0000-0000-00006C000000}"/>
    <cellStyle name="Comma 5" xfId="110" xr:uid="{00000000-0005-0000-0000-00006D000000}"/>
    <cellStyle name="Comma 5 2" xfId="111" xr:uid="{00000000-0005-0000-0000-00006E000000}"/>
    <cellStyle name="Comma 5 3" xfId="112" xr:uid="{00000000-0005-0000-0000-00006F000000}"/>
    <cellStyle name="Comma 6" xfId="113" xr:uid="{00000000-0005-0000-0000-000070000000}"/>
    <cellStyle name="Comma 6 2" xfId="114" xr:uid="{00000000-0005-0000-0000-000071000000}"/>
    <cellStyle name="Comma 6 3" xfId="115" xr:uid="{00000000-0005-0000-0000-000072000000}"/>
    <cellStyle name="Comma 7" xfId="116" xr:uid="{00000000-0005-0000-0000-000073000000}"/>
    <cellStyle name="Comma 7 2" xfId="117" xr:uid="{00000000-0005-0000-0000-000074000000}"/>
    <cellStyle name="Comma 7 3" xfId="118" xr:uid="{00000000-0005-0000-0000-000075000000}"/>
    <cellStyle name="Comma 7 4" xfId="119" xr:uid="{00000000-0005-0000-0000-000076000000}"/>
    <cellStyle name="Comma 8" xfId="120" xr:uid="{00000000-0005-0000-0000-000077000000}"/>
    <cellStyle name="Comma 8 2" xfId="121" xr:uid="{00000000-0005-0000-0000-000078000000}"/>
    <cellStyle name="Comma 8 3" xfId="122" xr:uid="{00000000-0005-0000-0000-000079000000}"/>
    <cellStyle name="Comma 9" xfId="123" xr:uid="{00000000-0005-0000-0000-00007A000000}"/>
    <cellStyle name="Comma 9 2" xfId="124" xr:uid="{00000000-0005-0000-0000-00007B000000}"/>
    <cellStyle name="Currency [0] 2" xfId="125" xr:uid="{00000000-0005-0000-0000-00007C000000}"/>
    <cellStyle name="Normal" xfId="0" builtinId="0"/>
    <cellStyle name="Normal 10" xfId="126" xr:uid="{00000000-0005-0000-0000-00007E000000}"/>
    <cellStyle name="Normal 10 2" xfId="127" xr:uid="{00000000-0005-0000-0000-00007F000000}"/>
    <cellStyle name="Normal 11" xfId="128" xr:uid="{00000000-0005-0000-0000-000080000000}"/>
    <cellStyle name="Normal 12" xfId="129" xr:uid="{00000000-0005-0000-0000-000081000000}"/>
    <cellStyle name="Normal 13" xfId="130" xr:uid="{00000000-0005-0000-0000-000082000000}"/>
    <cellStyle name="Normal 14" xfId="131" xr:uid="{00000000-0005-0000-0000-000083000000}"/>
    <cellStyle name="Normal 15" xfId="132" xr:uid="{00000000-0005-0000-0000-000084000000}"/>
    <cellStyle name="Normal 16" xfId="133" xr:uid="{00000000-0005-0000-0000-000085000000}"/>
    <cellStyle name="Normal 17" xfId="134" xr:uid="{00000000-0005-0000-0000-000086000000}"/>
    <cellStyle name="Normal 18" xfId="135" xr:uid="{00000000-0005-0000-0000-000087000000}"/>
    <cellStyle name="Normal 18 2" xfId="136" xr:uid="{00000000-0005-0000-0000-000088000000}"/>
    <cellStyle name="Normal 19" xfId="137" xr:uid="{00000000-0005-0000-0000-000089000000}"/>
    <cellStyle name="Normal 2" xfId="138" xr:uid="{00000000-0005-0000-0000-00008A000000}"/>
    <cellStyle name="Normal 2 10" xfId="139" xr:uid="{00000000-0005-0000-0000-00008B000000}"/>
    <cellStyle name="Normal 2 12" xfId="140" xr:uid="{00000000-0005-0000-0000-00008C000000}"/>
    <cellStyle name="Normal 2 14" xfId="141" xr:uid="{00000000-0005-0000-0000-00008D000000}"/>
    <cellStyle name="Normal 2 15" xfId="142" xr:uid="{00000000-0005-0000-0000-00008E000000}"/>
    <cellStyle name="Normal 2 2" xfId="143" xr:uid="{00000000-0005-0000-0000-00008F000000}"/>
    <cellStyle name="Normal 2 2 2" xfId="144" xr:uid="{00000000-0005-0000-0000-000090000000}"/>
    <cellStyle name="Normal 2 3" xfId="145" xr:uid="{00000000-0005-0000-0000-000091000000}"/>
    <cellStyle name="Normal 2 3 2" xfId="146" xr:uid="{00000000-0005-0000-0000-000092000000}"/>
    <cellStyle name="Normal 2 3 2 2" xfId="147" xr:uid="{00000000-0005-0000-0000-000093000000}"/>
    <cellStyle name="Normal 2 4" xfId="148" xr:uid="{00000000-0005-0000-0000-000094000000}"/>
    <cellStyle name="Normal 2 4 10" xfId="149" xr:uid="{00000000-0005-0000-0000-000095000000}"/>
    <cellStyle name="Normal 2 4 11" xfId="150" xr:uid="{00000000-0005-0000-0000-000096000000}"/>
    <cellStyle name="Normal 2 4 12" xfId="151" xr:uid="{00000000-0005-0000-0000-000097000000}"/>
    <cellStyle name="Normal 2 4 13" xfId="152" xr:uid="{00000000-0005-0000-0000-000098000000}"/>
    <cellStyle name="Normal 2 4 14" xfId="153" xr:uid="{00000000-0005-0000-0000-000099000000}"/>
    <cellStyle name="Normal 2 4 15" xfId="154" xr:uid="{00000000-0005-0000-0000-00009A000000}"/>
    <cellStyle name="Normal 2 4 2" xfId="155" xr:uid="{00000000-0005-0000-0000-00009B000000}"/>
    <cellStyle name="Normal 2 4 2 2" xfId="156" xr:uid="{00000000-0005-0000-0000-00009C000000}"/>
    <cellStyle name="Normal 2 4 2 2 10" xfId="157" xr:uid="{00000000-0005-0000-0000-00009D000000}"/>
    <cellStyle name="Normal 2 4 2 2 11" xfId="158" xr:uid="{00000000-0005-0000-0000-00009E000000}"/>
    <cellStyle name="Normal 2 4 2 2 12" xfId="159" xr:uid="{00000000-0005-0000-0000-00009F000000}"/>
    <cellStyle name="Normal 2 4 2 2 2" xfId="160" xr:uid="{00000000-0005-0000-0000-0000A0000000}"/>
    <cellStyle name="Normal 2 4 2 2 3" xfId="161" xr:uid="{00000000-0005-0000-0000-0000A1000000}"/>
    <cellStyle name="Normal 2 4 2 2 4" xfId="162" xr:uid="{00000000-0005-0000-0000-0000A2000000}"/>
    <cellStyle name="Normal 2 4 2 2 5" xfId="163" xr:uid="{00000000-0005-0000-0000-0000A3000000}"/>
    <cellStyle name="Normal 2 4 2 2 6" xfId="164" xr:uid="{00000000-0005-0000-0000-0000A4000000}"/>
    <cellStyle name="Normal 2 4 2 2 7" xfId="165" xr:uid="{00000000-0005-0000-0000-0000A5000000}"/>
    <cellStyle name="Normal 2 4 2 2 8" xfId="166" xr:uid="{00000000-0005-0000-0000-0000A6000000}"/>
    <cellStyle name="Normal 2 4 2 2 9" xfId="167" xr:uid="{00000000-0005-0000-0000-0000A7000000}"/>
    <cellStyle name="Normal 2 4 2 3" xfId="168" xr:uid="{00000000-0005-0000-0000-0000A8000000}"/>
    <cellStyle name="Normal 2 4 2 3 10" xfId="169" xr:uid="{00000000-0005-0000-0000-0000A9000000}"/>
    <cellStyle name="Normal 2 4 2 3 11" xfId="170" xr:uid="{00000000-0005-0000-0000-0000AA000000}"/>
    <cellStyle name="Normal 2 4 2 3 12" xfId="171" xr:uid="{00000000-0005-0000-0000-0000AB000000}"/>
    <cellStyle name="Normal 2 4 2 3 2" xfId="172" xr:uid="{00000000-0005-0000-0000-0000AC000000}"/>
    <cellStyle name="Normal 2 4 2 3 3" xfId="173" xr:uid="{00000000-0005-0000-0000-0000AD000000}"/>
    <cellStyle name="Normal 2 4 2 3 4" xfId="174" xr:uid="{00000000-0005-0000-0000-0000AE000000}"/>
    <cellStyle name="Normal 2 4 2 3 5" xfId="175" xr:uid="{00000000-0005-0000-0000-0000AF000000}"/>
    <cellStyle name="Normal 2 4 2 3 6" xfId="176" xr:uid="{00000000-0005-0000-0000-0000B0000000}"/>
    <cellStyle name="Normal 2 4 2 3 7" xfId="177" xr:uid="{00000000-0005-0000-0000-0000B1000000}"/>
    <cellStyle name="Normal 2 4 2 3 8" xfId="178" xr:uid="{00000000-0005-0000-0000-0000B2000000}"/>
    <cellStyle name="Normal 2 4 2 3 9" xfId="179" xr:uid="{00000000-0005-0000-0000-0000B3000000}"/>
    <cellStyle name="Normal 2 4 3" xfId="180" xr:uid="{00000000-0005-0000-0000-0000B4000000}"/>
    <cellStyle name="Normal 2 4 3 10" xfId="181" xr:uid="{00000000-0005-0000-0000-0000B5000000}"/>
    <cellStyle name="Normal 2 4 3 11" xfId="182" xr:uid="{00000000-0005-0000-0000-0000B6000000}"/>
    <cellStyle name="Normal 2 4 3 12" xfId="183" xr:uid="{00000000-0005-0000-0000-0000B7000000}"/>
    <cellStyle name="Normal 2 4 3 2" xfId="184" xr:uid="{00000000-0005-0000-0000-0000B8000000}"/>
    <cellStyle name="Normal 2 4 3 3" xfId="185" xr:uid="{00000000-0005-0000-0000-0000B9000000}"/>
    <cellStyle name="Normal 2 4 3 4" xfId="186" xr:uid="{00000000-0005-0000-0000-0000BA000000}"/>
    <cellStyle name="Normal 2 4 3 5" xfId="187" xr:uid="{00000000-0005-0000-0000-0000BB000000}"/>
    <cellStyle name="Normal 2 4 3 6" xfId="188" xr:uid="{00000000-0005-0000-0000-0000BC000000}"/>
    <cellStyle name="Normal 2 4 3 7" xfId="189" xr:uid="{00000000-0005-0000-0000-0000BD000000}"/>
    <cellStyle name="Normal 2 4 3 8" xfId="190" xr:uid="{00000000-0005-0000-0000-0000BE000000}"/>
    <cellStyle name="Normal 2 4 3 9" xfId="191" xr:uid="{00000000-0005-0000-0000-0000BF000000}"/>
    <cellStyle name="Normal 2 4 4" xfId="192" xr:uid="{00000000-0005-0000-0000-0000C0000000}"/>
    <cellStyle name="Normal 2 4 4 10" xfId="193" xr:uid="{00000000-0005-0000-0000-0000C1000000}"/>
    <cellStyle name="Normal 2 4 4 11" xfId="194" xr:uid="{00000000-0005-0000-0000-0000C2000000}"/>
    <cellStyle name="Normal 2 4 4 12" xfId="195" xr:uid="{00000000-0005-0000-0000-0000C3000000}"/>
    <cellStyle name="Normal 2 4 4 2" xfId="196" xr:uid="{00000000-0005-0000-0000-0000C4000000}"/>
    <cellStyle name="Normal 2 4 4 3" xfId="197" xr:uid="{00000000-0005-0000-0000-0000C5000000}"/>
    <cellStyle name="Normal 2 4 4 4" xfId="198" xr:uid="{00000000-0005-0000-0000-0000C6000000}"/>
    <cellStyle name="Normal 2 4 4 5" xfId="199" xr:uid="{00000000-0005-0000-0000-0000C7000000}"/>
    <cellStyle name="Normal 2 4 4 6" xfId="200" xr:uid="{00000000-0005-0000-0000-0000C8000000}"/>
    <cellStyle name="Normal 2 4 4 7" xfId="201" xr:uid="{00000000-0005-0000-0000-0000C9000000}"/>
    <cellStyle name="Normal 2 4 4 8" xfId="202" xr:uid="{00000000-0005-0000-0000-0000CA000000}"/>
    <cellStyle name="Normal 2 4 4 9" xfId="203" xr:uid="{00000000-0005-0000-0000-0000CB000000}"/>
    <cellStyle name="Normal 2 4 5" xfId="204" xr:uid="{00000000-0005-0000-0000-0000CC000000}"/>
    <cellStyle name="Normal 2 4 6" xfId="205" xr:uid="{00000000-0005-0000-0000-0000CD000000}"/>
    <cellStyle name="Normal 2 4 7" xfId="206" xr:uid="{00000000-0005-0000-0000-0000CE000000}"/>
    <cellStyle name="Normal 2 4 8" xfId="207" xr:uid="{00000000-0005-0000-0000-0000CF000000}"/>
    <cellStyle name="Normal 2 4 9" xfId="208" xr:uid="{00000000-0005-0000-0000-0000D0000000}"/>
    <cellStyle name="Normal 2 5" xfId="209" xr:uid="{00000000-0005-0000-0000-0000D1000000}"/>
    <cellStyle name="Normal 2 5 2" xfId="210" xr:uid="{00000000-0005-0000-0000-0000D2000000}"/>
    <cellStyle name="Normal 20" xfId="211" xr:uid="{00000000-0005-0000-0000-0000D3000000}"/>
    <cellStyle name="Normal 21" xfId="212" xr:uid="{00000000-0005-0000-0000-0000D4000000}"/>
    <cellStyle name="Normal 22" xfId="213" xr:uid="{00000000-0005-0000-0000-0000D5000000}"/>
    <cellStyle name="Normal 23" xfId="214" xr:uid="{00000000-0005-0000-0000-0000D6000000}"/>
    <cellStyle name="Normal 24" xfId="215" xr:uid="{00000000-0005-0000-0000-0000D7000000}"/>
    <cellStyle name="Normal 25" xfId="216" xr:uid="{00000000-0005-0000-0000-0000D8000000}"/>
    <cellStyle name="Normal 26" xfId="217" xr:uid="{00000000-0005-0000-0000-0000D9000000}"/>
    <cellStyle name="Normal 27" xfId="218" xr:uid="{00000000-0005-0000-0000-0000DA000000}"/>
    <cellStyle name="Normal 28" xfId="219" xr:uid="{00000000-0005-0000-0000-0000DB000000}"/>
    <cellStyle name="Normal 29" xfId="220" xr:uid="{00000000-0005-0000-0000-0000DC000000}"/>
    <cellStyle name="Normal 3" xfId="221" xr:uid="{00000000-0005-0000-0000-0000DD000000}"/>
    <cellStyle name="Normal 3 10" xfId="222" xr:uid="{00000000-0005-0000-0000-0000DE000000}"/>
    <cellStyle name="Normal 3 11" xfId="223" xr:uid="{00000000-0005-0000-0000-0000DF000000}"/>
    <cellStyle name="Normal 3 12" xfId="224" xr:uid="{00000000-0005-0000-0000-0000E0000000}"/>
    <cellStyle name="Normal 3 13" xfId="225" xr:uid="{00000000-0005-0000-0000-0000E1000000}"/>
    <cellStyle name="Normal 3 14" xfId="226" xr:uid="{00000000-0005-0000-0000-0000E2000000}"/>
    <cellStyle name="Normal 3 15" xfId="227" xr:uid="{00000000-0005-0000-0000-0000E3000000}"/>
    <cellStyle name="Normal 3 16" xfId="228" xr:uid="{00000000-0005-0000-0000-0000E4000000}"/>
    <cellStyle name="Normal 3 17" xfId="229" xr:uid="{00000000-0005-0000-0000-0000E5000000}"/>
    <cellStyle name="Normal 3 18" xfId="230" xr:uid="{00000000-0005-0000-0000-0000E6000000}"/>
    <cellStyle name="Normal 3 2" xfId="231" xr:uid="{00000000-0005-0000-0000-0000E7000000}"/>
    <cellStyle name="Normal 3 2 10" xfId="232" xr:uid="{00000000-0005-0000-0000-0000E8000000}"/>
    <cellStyle name="Normal 3 2 11" xfId="233" xr:uid="{00000000-0005-0000-0000-0000E9000000}"/>
    <cellStyle name="Normal 3 2 12" xfId="234" xr:uid="{00000000-0005-0000-0000-0000EA000000}"/>
    <cellStyle name="Normal 3 2 13" xfId="235" xr:uid="{00000000-0005-0000-0000-0000EB000000}"/>
    <cellStyle name="Normal 3 2 2" xfId="236" xr:uid="{00000000-0005-0000-0000-0000EC000000}"/>
    <cellStyle name="Normal 3 2 3" xfId="237" xr:uid="{00000000-0005-0000-0000-0000ED000000}"/>
    <cellStyle name="Normal 3 2 4" xfId="238" xr:uid="{00000000-0005-0000-0000-0000EE000000}"/>
    <cellStyle name="Normal 3 2 5" xfId="239" xr:uid="{00000000-0005-0000-0000-0000EF000000}"/>
    <cellStyle name="Normal 3 2 6" xfId="240" xr:uid="{00000000-0005-0000-0000-0000F0000000}"/>
    <cellStyle name="Normal 3 2 7" xfId="241" xr:uid="{00000000-0005-0000-0000-0000F1000000}"/>
    <cellStyle name="Normal 3 2 8" xfId="242" xr:uid="{00000000-0005-0000-0000-0000F2000000}"/>
    <cellStyle name="Normal 3 2 9" xfId="243" xr:uid="{00000000-0005-0000-0000-0000F3000000}"/>
    <cellStyle name="Normal 3 3" xfId="244" xr:uid="{00000000-0005-0000-0000-0000F4000000}"/>
    <cellStyle name="Normal 3 3 10" xfId="245" xr:uid="{00000000-0005-0000-0000-0000F5000000}"/>
    <cellStyle name="Normal 3 3 11" xfId="246" xr:uid="{00000000-0005-0000-0000-0000F6000000}"/>
    <cellStyle name="Normal 3 3 12" xfId="247" xr:uid="{00000000-0005-0000-0000-0000F7000000}"/>
    <cellStyle name="Normal 3 3 13" xfId="248" xr:uid="{00000000-0005-0000-0000-0000F8000000}"/>
    <cellStyle name="Normal 3 3 2" xfId="249" xr:uid="{00000000-0005-0000-0000-0000F9000000}"/>
    <cellStyle name="Normal 3 3 3" xfId="250" xr:uid="{00000000-0005-0000-0000-0000FA000000}"/>
    <cellStyle name="Normal 3 3 4" xfId="251" xr:uid="{00000000-0005-0000-0000-0000FB000000}"/>
    <cellStyle name="Normal 3 3 5" xfId="252" xr:uid="{00000000-0005-0000-0000-0000FC000000}"/>
    <cellStyle name="Normal 3 3 6" xfId="253" xr:uid="{00000000-0005-0000-0000-0000FD000000}"/>
    <cellStyle name="Normal 3 3 7" xfId="254" xr:uid="{00000000-0005-0000-0000-0000FE000000}"/>
    <cellStyle name="Normal 3 3 8" xfId="255" xr:uid="{00000000-0005-0000-0000-0000FF000000}"/>
    <cellStyle name="Normal 3 3 9" xfId="256" xr:uid="{00000000-0005-0000-0000-000000010000}"/>
    <cellStyle name="Normal 3 4" xfId="257" xr:uid="{00000000-0005-0000-0000-000001010000}"/>
    <cellStyle name="Normal 3 4 10" xfId="258" xr:uid="{00000000-0005-0000-0000-000002010000}"/>
    <cellStyle name="Normal 3 4 11" xfId="259" xr:uid="{00000000-0005-0000-0000-000003010000}"/>
    <cellStyle name="Normal 3 4 12" xfId="260" xr:uid="{00000000-0005-0000-0000-000004010000}"/>
    <cellStyle name="Normal 3 4 13" xfId="261" xr:uid="{00000000-0005-0000-0000-000005010000}"/>
    <cellStyle name="Normal 3 4 2" xfId="262" xr:uid="{00000000-0005-0000-0000-000006010000}"/>
    <cellStyle name="Normal 3 4 2 10" xfId="263" xr:uid="{00000000-0005-0000-0000-000007010000}"/>
    <cellStyle name="Normal 3 4 2 11" xfId="264" xr:uid="{00000000-0005-0000-0000-000008010000}"/>
    <cellStyle name="Normal 3 4 2 12" xfId="265" xr:uid="{00000000-0005-0000-0000-000009010000}"/>
    <cellStyle name="Normal 3 4 2 2" xfId="266" xr:uid="{00000000-0005-0000-0000-00000A010000}"/>
    <cellStyle name="Normal 3 4 2 3" xfId="267" xr:uid="{00000000-0005-0000-0000-00000B010000}"/>
    <cellStyle name="Normal 3 4 2 4" xfId="268" xr:uid="{00000000-0005-0000-0000-00000C010000}"/>
    <cellStyle name="Normal 3 4 2 5" xfId="269" xr:uid="{00000000-0005-0000-0000-00000D010000}"/>
    <cellStyle name="Normal 3 4 2 6" xfId="270" xr:uid="{00000000-0005-0000-0000-00000E010000}"/>
    <cellStyle name="Normal 3 4 2 7" xfId="271" xr:uid="{00000000-0005-0000-0000-00000F010000}"/>
    <cellStyle name="Normal 3 4 2 8" xfId="272" xr:uid="{00000000-0005-0000-0000-000010010000}"/>
    <cellStyle name="Normal 3 4 2 9" xfId="273" xr:uid="{00000000-0005-0000-0000-000011010000}"/>
    <cellStyle name="Normal 3 4 3" xfId="274" xr:uid="{00000000-0005-0000-0000-000012010000}"/>
    <cellStyle name="Normal 3 4 4" xfId="275" xr:uid="{00000000-0005-0000-0000-000013010000}"/>
    <cellStyle name="Normal 3 4 5" xfId="276" xr:uid="{00000000-0005-0000-0000-000014010000}"/>
    <cellStyle name="Normal 3 4 6" xfId="277" xr:uid="{00000000-0005-0000-0000-000015010000}"/>
    <cellStyle name="Normal 3 4 7" xfId="278" xr:uid="{00000000-0005-0000-0000-000016010000}"/>
    <cellStyle name="Normal 3 4 8" xfId="279" xr:uid="{00000000-0005-0000-0000-000017010000}"/>
    <cellStyle name="Normal 3 4 9" xfId="280" xr:uid="{00000000-0005-0000-0000-000018010000}"/>
    <cellStyle name="Normal 3 5" xfId="281" xr:uid="{00000000-0005-0000-0000-000019010000}"/>
    <cellStyle name="Normal 3 5 10" xfId="282" xr:uid="{00000000-0005-0000-0000-00001A010000}"/>
    <cellStyle name="Normal 3 5 11" xfId="283" xr:uid="{00000000-0005-0000-0000-00001B010000}"/>
    <cellStyle name="Normal 3 5 12" xfId="284" xr:uid="{00000000-0005-0000-0000-00001C010000}"/>
    <cellStyle name="Normal 3 5 2" xfId="285" xr:uid="{00000000-0005-0000-0000-00001D010000}"/>
    <cellStyle name="Normal 3 5 3" xfId="286" xr:uid="{00000000-0005-0000-0000-00001E010000}"/>
    <cellStyle name="Normal 3 5 4" xfId="287" xr:uid="{00000000-0005-0000-0000-00001F010000}"/>
    <cellStyle name="Normal 3 5 5" xfId="288" xr:uid="{00000000-0005-0000-0000-000020010000}"/>
    <cellStyle name="Normal 3 5 6" xfId="289" xr:uid="{00000000-0005-0000-0000-000021010000}"/>
    <cellStyle name="Normal 3 5 7" xfId="290" xr:uid="{00000000-0005-0000-0000-000022010000}"/>
    <cellStyle name="Normal 3 5 8" xfId="291" xr:uid="{00000000-0005-0000-0000-000023010000}"/>
    <cellStyle name="Normal 3 5 9" xfId="292" xr:uid="{00000000-0005-0000-0000-000024010000}"/>
    <cellStyle name="Normal 3 6" xfId="293" xr:uid="{00000000-0005-0000-0000-000025010000}"/>
    <cellStyle name="Normal 3 6 10" xfId="294" xr:uid="{00000000-0005-0000-0000-000026010000}"/>
    <cellStyle name="Normal 3 6 11" xfId="295" xr:uid="{00000000-0005-0000-0000-000027010000}"/>
    <cellStyle name="Normal 3 6 12" xfId="296" xr:uid="{00000000-0005-0000-0000-000028010000}"/>
    <cellStyle name="Normal 3 6 2" xfId="297" xr:uid="{00000000-0005-0000-0000-000029010000}"/>
    <cellStyle name="Normal 3 6 3" xfId="298" xr:uid="{00000000-0005-0000-0000-00002A010000}"/>
    <cellStyle name="Normal 3 6 4" xfId="299" xr:uid="{00000000-0005-0000-0000-00002B010000}"/>
    <cellStyle name="Normal 3 6 5" xfId="300" xr:uid="{00000000-0005-0000-0000-00002C010000}"/>
    <cellStyle name="Normal 3 6 6" xfId="301" xr:uid="{00000000-0005-0000-0000-00002D010000}"/>
    <cellStyle name="Normal 3 6 7" xfId="302" xr:uid="{00000000-0005-0000-0000-00002E010000}"/>
    <cellStyle name="Normal 3 6 8" xfId="303" xr:uid="{00000000-0005-0000-0000-00002F010000}"/>
    <cellStyle name="Normal 3 6 9" xfId="304" xr:uid="{00000000-0005-0000-0000-000030010000}"/>
    <cellStyle name="Normal 3 7" xfId="305" xr:uid="{00000000-0005-0000-0000-000031010000}"/>
    <cellStyle name="Normal 3 7 10" xfId="306" xr:uid="{00000000-0005-0000-0000-000032010000}"/>
    <cellStyle name="Normal 3 7 11" xfId="307" xr:uid="{00000000-0005-0000-0000-000033010000}"/>
    <cellStyle name="Normal 3 7 12" xfId="308" xr:uid="{00000000-0005-0000-0000-000034010000}"/>
    <cellStyle name="Normal 3 7 13" xfId="309" xr:uid="{00000000-0005-0000-0000-000035010000}"/>
    <cellStyle name="Normal 3 7 14" xfId="310" xr:uid="{00000000-0005-0000-0000-000036010000}"/>
    <cellStyle name="Normal 3 7 15" xfId="311" xr:uid="{00000000-0005-0000-0000-000037010000}"/>
    <cellStyle name="Normal 3 7 2" xfId="312" xr:uid="{00000000-0005-0000-0000-000038010000}"/>
    <cellStyle name="Normal 3 7 2 10" xfId="313" xr:uid="{00000000-0005-0000-0000-000039010000}"/>
    <cellStyle name="Normal 3 7 2 11" xfId="314" xr:uid="{00000000-0005-0000-0000-00003A010000}"/>
    <cellStyle name="Normal 3 7 2 12" xfId="315" xr:uid="{00000000-0005-0000-0000-00003B010000}"/>
    <cellStyle name="Normal 3 7 2 2" xfId="316" xr:uid="{00000000-0005-0000-0000-00003C010000}"/>
    <cellStyle name="Normal 3 7 2 3" xfId="317" xr:uid="{00000000-0005-0000-0000-00003D010000}"/>
    <cellStyle name="Normal 3 7 2 4" xfId="318" xr:uid="{00000000-0005-0000-0000-00003E010000}"/>
    <cellStyle name="Normal 3 7 2 5" xfId="319" xr:uid="{00000000-0005-0000-0000-00003F010000}"/>
    <cellStyle name="Normal 3 7 2 6" xfId="320" xr:uid="{00000000-0005-0000-0000-000040010000}"/>
    <cellStyle name="Normal 3 7 2 7" xfId="321" xr:uid="{00000000-0005-0000-0000-000041010000}"/>
    <cellStyle name="Normal 3 7 2 8" xfId="322" xr:uid="{00000000-0005-0000-0000-000042010000}"/>
    <cellStyle name="Normal 3 7 2 9" xfId="323" xr:uid="{00000000-0005-0000-0000-000043010000}"/>
    <cellStyle name="Normal 3 7 3" xfId="324" xr:uid="{00000000-0005-0000-0000-000044010000}"/>
    <cellStyle name="Normal 3 7 3 10" xfId="325" xr:uid="{00000000-0005-0000-0000-000045010000}"/>
    <cellStyle name="Normal 3 7 3 11" xfId="326" xr:uid="{00000000-0005-0000-0000-000046010000}"/>
    <cellStyle name="Normal 3 7 3 12" xfId="327" xr:uid="{00000000-0005-0000-0000-000047010000}"/>
    <cellStyle name="Normal 3 7 3 2" xfId="328" xr:uid="{00000000-0005-0000-0000-000048010000}"/>
    <cellStyle name="Normal 3 7 3 3" xfId="329" xr:uid="{00000000-0005-0000-0000-000049010000}"/>
    <cellStyle name="Normal 3 7 3 4" xfId="330" xr:uid="{00000000-0005-0000-0000-00004A010000}"/>
    <cellStyle name="Normal 3 7 3 5" xfId="331" xr:uid="{00000000-0005-0000-0000-00004B010000}"/>
    <cellStyle name="Normal 3 7 3 6" xfId="332" xr:uid="{00000000-0005-0000-0000-00004C010000}"/>
    <cellStyle name="Normal 3 7 3 7" xfId="333" xr:uid="{00000000-0005-0000-0000-00004D010000}"/>
    <cellStyle name="Normal 3 7 3 8" xfId="334" xr:uid="{00000000-0005-0000-0000-00004E010000}"/>
    <cellStyle name="Normal 3 7 3 9" xfId="335" xr:uid="{00000000-0005-0000-0000-00004F010000}"/>
    <cellStyle name="Normal 3 7 4" xfId="336" xr:uid="{00000000-0005-0000-0000-000050010000}"/>
    <cellStyle name="Normal 3 7 4 10" xfId="337" xr:uid="{00000000-0005-0000-0000-000051010000}"/>
    <cellStyle name="Normal 3 7 4 11" xfId="338" xr:uid="{00000000-0005-0000-0000-000052010000}"/>
    <cellStyle name="Normal 3 7 4 12" xfId="339" xr:uid="{00000000-0005-0000-0000-000053010000}"/>
    <cellStyle name="Normal 3 7 4 2" xfId="340" xr:uid="{00000000-0005-0000-0000-000054010000}"/>
    <cellStyle name="Normal 3 7 4 3" xfId="341" xr:uid="{00000000-0005-0000-0000-000055010000}"/>
    <cellStyle name="Normal 3 7 4 4" xfId="342" xr:uid="{00000000-0005-0000-0000-000056010000}"/>
    <cellStyle name="Normal 3 7 4 5" xfId="343" xr:uid="{00000000-0005-0000-0000-000057010000}"/>
    <cellStyle name="Normal 3 7 4 6" xfId="344" xr:uid="{00000000-0005-0000-0000-000058010000}"/>
    <cellStyle name="Normal 3 7 4 7" xfId="345" xr:uid="{00000000-0005-0000-0000-000059010000}"/>
    <cellStyle name="Normal 3 7 4 8" xfId="346" xr:uid="{00000000-0005-0000-0000-00005A010000}"/>
    <cellStyle name="Normal 3 7 4 9" xfId="347" xr:uid="{00000000-0005-0000-0000-00005B010000}"/>
    <cellStyle name="Normal 3 7 5" xfId="348" xr:uid="{00000000-0005-0000-0000-00005C010000}"/>
    <cellStyle name="Normal 3 7 6" xfId="349" xr:uid="{00000000-0005-0000-0000-00005D010000}"/>
    <cellStyle name="Normal 3 7 7" xfId="350" xr:uid="{00000000-0005-0000-0000-00005E010000}"/>
    <cellStyle name="Normal 3 7 8" xfId="351" xr:uid="{00000000-0005-0000-0000-00005F010000}"/>
    <cellStyle name="Normal 3 7 9" xfId="352" xr:uid="{00000000-0005-0000-0000-000060010000}"/>
    <cellStyle name="Normal 3 8" xfId="353" xr:uid="{00000000-0005-0000-0000-000061010000}"/>
    <cellStyle name="Normal 3 9" xfId="354" xr:uid="{00000000-0005-0000-0000-000062010000}"/>
    <cellStyle name="Normal 3_Z. D E W A N   HIBAH   TANI    PERUB 2014" xfId="355" xr:uid="{00000000-0005-0000-0000-000063010000}"/>
    <cellStyle name="Normal 30" xfId="356" xr:uid="{00000000-0005-0000-0000-000064010000}"/>
    <cellStyle name="Normal 31" xfId="357" xr:uid="{00000000-0005-0000-0000-000065010000}"/>
    <cellStyle name="Normal 32" xfId="358" xr:uid="{00000000-0005-0000-0000-000066010000}"/>
    <cellStyle name="Normal 33" xfId="359" xr:uid="{00000000-0005-0000-0000-000067010000}"/>
    <cellStyle name="Normal 34" xfId="360" xr:uid="{00000000-0005-0000-0000-000068010000}"/>
    <cellStyle name="Normal 35" xfId="361" xr:uid="{00000000-0005-0000-0000-000069010000}"/>
    <cellStyle name="Normal 36" xfId="362" xr:uid="{00000000-0005-0000-0000-00006A010000}"/>
    <cellStyle name="Normal 37" xfId="363" xr:uid="{00000000-0005-0000-0000-00006B010000}"/>
    <cellStyle name="Normal 38" xfId="364" xr:uid="{00000000-0005-0000-0000-00006C010000}"/>
    <cellStyle name="Normal 39" xfId="365" xr:uid="{00000000-0005-0000-0000-00006D010000}"/>
    <cellStyle name="Normal 4" xfId="366" xr:uid="{00000000-0005-0000-0000-00006E010000}"/>
    <cellStyle name="Normal 4 10" xfId="367" xr:uid="{00000000-0005-0000-0000-00006F010000}"/>
    <cellStyle name="Normal 4 11" xfId="368" xr:uid="{00000000-0005-0000-0000-000070010000}"/>
    <cellStyle name="Normal 4 12" xfId="369" xr:uid="{00000000-0005-0000-0000-000071010000}"/>
    <cellStyle name="Normal 4 13" xfId="370" xr:uid="{00000000-0005-0000-0000-000072010000}"/>
    <cellStyle name="Normal 4 14" xfId="371" xr:uid="{00000000-0005-0000-0000-000073010000}"/>
    <cellStyle name="Normal 4 15" xfId="372" xr:uid="{00000000-0005-0000-0000-000074010000}"/>
    <cellStyle name="Normal 4 16" xfId="373" xr:uid="{00000000-0005-0000-0000-000075010000}"/>
    <cellStyle name="Normal 4 17" xfId="374" xr:uid="{00000000-0005-0000-0000-000076010000}"/>
    <cellStyle name="Normal 4 2" xfId="375" xr:uid="{00000000-0005-0000-0000-000077010000}"/>
    <cellStyle name="Normal 4 3" xfId="376" xr:uid="{00000000-0005-0000-0000-000078010000}"/>
    <cellStyle name="Normal 4 4" xfId="377" xr:uid="{00000000-0005-0000-0000-000079010000}"/>
    <cellStyle name="Normal 4 5" xfId="378" xr:uid="{00000000-0005-0000-0000-00007A010000}"/>
    <cellStyle name="Normal 4 6" xfId="379" xr:uid="{00000000-0005-0000-0000-00007B010000}"/>
    <cellStyle name="Normal 4 7" xfId="380" xr:uid="{00000000-0005-0000-0000-00007C010000}"/>
    <cellStyle name="Normal 4 8" xfId="381" xr:uid="{00000000-0005-0000-0000-00007D010000}"/>
    <cellStyle name="Normal 4 9" xfId="382" xr:uid="{00000000-0005-0000-0000-00007E010000}"/>
    <cellStyle name="Normal 40" xfId="383" xr:uid="{00000000-0005-0000-0000-00007F010000}"/>
    <cellStyle name="Normal 40 10" xfId="384" xr:uid="{00000000-0005-0000-0000-000080010000}"/>
    <cellStyle name="Normal 40 11" xfId="385" xr:uid="{00000000-0005-0000-0000-000081010000}"/>
    <cellStyle name="Normal 40 12" xfId="386" xr:uid="{00000000-0005-0000-0000-000082010000}"/>
    <cellStyle name="Normal 40 2" xfId="387" xr:uid="{00000000-0005-0000-0000-000083010000}"/>
    <cellStyle name="Normal 40 3" xfId="388" xr:uid="{00000000-0005-0000-0000-000084010000}"/>
    <cellStyle name="Normal 40 4" xfId="389" xr:uid="{00000000-0005-0000-0000-000085010000}"/>
    <cellStyle name="Normal 40 5" xfId="390" xr:uid="{00000000-0005-0000-0000-000086010000}"/>
    <cellStyle name="Normal 40 6" xfId="391" xr:uid="{00000000-0005-0000-0000-000087010000}"/>
    <cellStyle name="Normal 40 7" xfId="392" xr:uid="{00000000-0005-0000-0000-000088010000}"/>
    <cellStyle name="Normal 40 8" xfId="393" xr:uid="{00000000-0005-0000-0000-000089010000}"/>
    <cellStyle name="Normal 40 9" xfId="394" xr:uid="{00000000-0005-0000-0000-00008A010000}"/>
    <cellStyle name="Normal 41" xfId="395" xr:uid="{00000000-0005-0000-0000-00008B010000}"/>
    <cellStyle name="Normal 42" xfId="396" xr:uid="{00000000-0005-0000-0000-00008C010000}"/>
    <cellStyle name="Normal 43" xfId="397" xr:uid="{00000000-0005-0000-0000-00008D010000}"/>
    <cellStyle name="Normal 44" xfId="398" xr:uid="{00000000-0005-0000-0000-00008E010000}"/>
    <cellStyle name="Normal 45" xfId="399" xr:uid="{00000000-0005-0000-0000-00008F010000}"/>
    <cellStyle name="Normal 5" xfId="400" xr:uid="{00000000-0005-0000-0000-000090010000}"/>
    <cellStyle name="Normal 6" xfId="401" xr:uid="{00000000-0005-0000-0000-000091010000}"/>
    <cellStyle name="Normal 6 2" xfId="402" xr:uid="{00000000-0005-0000-0000-000092010000}"/>
    <cellStyle name="Normal 7" xfId="403" xr:uid="{00000000-0005-0000-0000-000093010000}"/>
    <cellStyle name="Normal 8" xfId="404" xr:uid="{00000000-0005-0000-0000-000094010000}"/>
    <cellStyle name="Normal 9" xfId="405" xr:uid="{00000000-0005-0000-0000-000095010000}"/>
    <cellStyle name="Normal_Sheet1" xfId="406" xr:uid="{00000000-0005-0000-0000-000096010000}"/>
    <cellStyle name="Percent 2" xfId="407" xr:uid="{00000000-0005-0000-0000-000097010000}"/>
    <cellStyle name="S0" xfId="408" xr:uid="{00000000-0005-0000-0000-000098010000}"/>
    <cellStyle name="S0 2" xfId="409" xr:uid="{00000000-0005-0000-0000-000099010000}"/>
    <cellStyle name="S0 3" xfId="410" xr:uid="{00000000-0005-0000-0000-00009A010000}"/>
    <cellStyle name="S1" xfId="411" xr:uid="{00000000-0005-0000-0000-00009B010000}"/>
    <cellStyle name="S1 2" xfId="412" xr:uid="{00000000-0005-0000-0000-00009C010000}"/>
    <cellStyle name="S1 3" xfId="413" xr:uid="{00000000-0005-0000-0000-00009D010000}"/>
    <cellStyle name="S1 4" xfId="414" xr:uid="{00000000-0005-0000-0000-00009E010000}"/>
    <cellStyle name="S1 5" xfId="415" xr:uid="{00000000-0005-0000-0000-00009F010000}"/>
    <cellStyle name="S10" xfId="416" xr:uid="{00000000-0005-0000-0000-0000A0010000}"/>
    <cellStyle name="S10 2" xfId="417" xr:uid="{00000000-0005-0000-0000-0000A1010000}"/>
    <cellStyle name="S10 3" xfId="418" xr:uid="{00000000-0005-0000-0000-0000A2010000}"/>
    <cellStyle name="S10 4" xfId="419" xr:uid="{00000000-0005-0000-0000-0000A3010000}"/>
    <cellStyle name="S11" xfId="420" xr:uid="{00000000-0005-0000-0000-0000A4010000}"/>
    <cellStyle name="S11 2" xfId="421" xr:uid="{00000000-0005-0000-0000-0000A5010000}"/>
    <cellStyle name="S11 3" xfId="422" xr:uid="{00000000-0005-0000-0000-0000A6010000}"/>
    <cellStyle name="S11 4" xfId="423" xr:uid="{00000000-0005-0000-0000-0000A7010000}"/>
    <cellStyle name="S12" xfId="424" xr:uid="{00000000-0005-0000-0000-0000A8010000}"/>
    <cellStyle name="S12 2" xfId="425" xr:uid="{00000000-0005-0000-0000-0000A9010000}"/>
    <cellStyle name="S12 3" xfId="426" xr:uid="{00000000-0005-0000-0000-0000AA010000}"/>
    <cellStyle name="S12 4" xfId="427" xr:uid="{00000000-0005-0000-0000-0000AB010000}"/>
    <cellStyle name="S12 5" xfId="428" xr:uid="{00000000-0005-0000-0000-0000AC010000}"/>
    <cellStyle name="S13" xfId="429" xr:uid="{00000000-0005-0000-0000-0000AD010000}"/>
    <cellStyle name="S13 2" xfId="430" xr:uid="{00000000-0005-0000-0000-0000AE010000}"/>
    <cellStyle name="S13 3" xfId="431" xr:uid="{00000000-0005-0000-0000-0000AF010000}"/>
    <cellStyle name="S13 4" xfId="432" xr:uid="{00000000-0005-0000-0000-0000B0010000}"/>
    <cellStyle name="S13 5" xfId="433" xr:uid="{00000000-0005-0000-0000-0000B1010000}"/>
    <cellStyle name="S14" xfId="434" xr:uid="{00000000-0005-0000-0000-0000B2010000}"/>
    <cellStyle name="S14 2" xfId="435" xr:uid="{00000000-0005-0000-0000-0000B3010000}"/>
    <cellStyle name="S14 3" xfId="436" xr:uid="{00000000-0005-0000-0000-0000B4010000}"/>
    <cellStyle name="S15" xfId="437" xr:uid="{00000000-0005-0000-0000-0000B5010000}"/>
    <cellStyle name="S15 2" xfId="438" xr:uid="{00000000-0005-0000-0000-0000B6010000}"/>
    <cellStyle name="S15 3" xfId="439" xr:uid="{00000000-0005-0000-0000-0000B7010000}"/>
    <cellStyle name="S15 4" xfId="440" xr:uid="{00000000-0005-0000-0000-0000B8010000}"/>
    <cellStyle name="S16" xfId="441" xr:uid="{00000000-0005-0000-0000-0000B9010000}"/>
    <cellStyle name="S16 2" xfId="442" xr:uid="{00000000-0005-0000-0000-0000BA010000}"/>
    <cellStyle name="S16 3" xfId="443" xr:uid="{00000000-0005-0000-0000-0000BB010000}"/>
    <cellStyle name="S16 4" xfId="444" xr:uid="{00000000-0005-0000-0000-0000BC010000}"/>
    <cellStyle name="S17" xfId="445" xr:uid="{00000000-0005-0000-0000-0000BD010000}"/>
    <cellStyle name="S17 2" xfId="446" xr:uid="{00000000-0005-0000-0000-0000BE010000}"/>
    <cellStyle name="S17 3" xfId="447" xr:uid="{00000000-0005-0000-0000-0000BF010000}"/>
    <cellStyle name="S18" xfId="448" xr:uid="{00000000-0005-0000-0000-0000C0010000}"/>
    <cellStyle name="S18 2" xfId="449" xr:uid="{00000000-0005-0000-0000-0000C1010000}"/>
    <cellStyle name="S18 3" xfId="450" xr:uid="{00000000-0005-0000-0000-0000C2010000}"/>
    <cellStyle name="S18 4" xfId="451" xr:uid="{00000000-0005-0000-0000-0000C3010000}"/>
    <cellStyle name="S19" xfId="452" xr:uid="{00000000-0005-0000-0000-0000C4010000}"/>
    <cellStyle name="S19 2" xfId="453" xr:uid="{00000000-0005-0000-0000-0000C5010000}"/>
    <cellStyle name="S19 3" xfId="454" xr:uid="{00000000-0005-0000-0000-0000C6010000}"/>
    <cellStyle name="S2" xfId="455" xr:uid="{00000000-0005-0000-0000-0000C7010000}"/>
    <cellStyle name="S2 2" xfId="456" xr:uid="{00000000-0005-0000-0000-0000C8010000}"/>
    <cellStyle name="S2 3" xfId="457" xr:uid="{00000000-0005-0000-0000-0000C9010000}"/>
    <cellStyle name="S2 4" xfId="458" xr:uid="{00000000-0005-0000-0000-0000CA010000}"/>
    <cellStyle name="S20" xfId="459" xr:uid="{00000000-0005-0000-0000-0000CB010000}"/>
    <cellStyle name="S20 2" xfId="460" xr:uid="{00000000-0005-0000-0000-0000CC010000}"/>
    <cellStyle name="S20 3" xfId="461" xr:uid="{00000000-0005-0000-0000-0000CD010000}"/>
    <cellStyle name="S20 4" xfId="462" xr:uid="{00000000-0005-0000-0000-0000CE010000}"/>
    <cellStyle name="S21" xfId="463" xr:uid="{00000000-0005-0000-0000-0000CF010000}"/>
    <cellStyle name="S21 2" xfId="464" xr:uid="{00000000-0005-0000-0000-0000D0010000}"/>
    <cellStyle name="S21 3" xfId="465" xr:uid="{00000000-0005-0000-0000-0000D1010000}"/>
    <cellStyle name="S22" xfId="466" xr:uid="{00000000-0005-0000-0000-0000D2010000}"/>
    <cellStyle name="S22 2" xfId="467" xr:uid="{00000000-0005-0000-0000-0000D3010000}"/>
    <cellStyle name="S22 3" xfId="468" xr:uid="{00000000-0005-0000-0000-0000D4010000}"/>
    <cellStyle name="S22 4" xfId="469" xr:uid="{00000000-0005-0000-0000-0000D5010000}"/>
    <cellStyle name="S23" xfId="470" xr:uid="{00000000-0005-0000-0000-0000D6010000}"/>
    <cellStyle name="S23 2" xfId="471" xr:uid="{00000000-0005-0000-0000-0000D7010000}"/>
    <cellStyle name="S23 3" xfId="472" xr:uid="{00000000-0005-0000-0000-0000D8010000}"/>
    <cellStyle name="S24" xfId="473" xr:uid="{00000000-0005-0000-0000-0000D9010000}"/>
    <cellStyle name="S24 2" xfId="474" xr:uid="{00000000-0005-0000-0000-0000DA010000}"/>
    <cellStyle name="S24 3" xfId="475" xr:uid="{00000000-0005-0000-0000-0000DB010000}"/>
    <cellStyle name="S25" xfId="476" xr:uid="{00000000-0005-0000-0000-0000DC010000}"/>
    <cellStyle name="S25 2" xfId="477" xr:uid="{00000000-0005-0000-0000-0000DD010000}"/>
    <cellStyle name="S26" xfId="478" xr:uid="{00000000-0005-0000-0000-0000DE010000}"/>
    <cellStyle name="S26 2" xfId="479" xr:uid="{00000000-0005-0000-0000-0000DF010000}"/>
    <cellStyle name="S26 3" xfId="480" xr:uid="{00000000-0005-0000-0000-0000E0010000}"/>
    <cellStyle name="S27" xfId="481" xr:uid="{00000000-0005-0000-0000-0000E1010000}"/>
    <cellStyle name="S27 2" xfId="482" xr:uid="{00000000-0005-0000-0000-0000E2010000}"/>
    <cellStyle name="S28" xfId="483" xr:uid="{00000000-0005-0000-0000-0000E3010000}"/>
    <cellStyle name="S28 2" xfId="484" xr:uid="{00000000-0005-0000-0000-0000E4010000}"/>
    <cellStyle name="S28 3" xfId="485" xr:uid="{00000000-0005-0000-0000-0000E5010000}"/>
    <cellStyle name="S29" xfId="486" xr:uid="{00000000-0005-0000-0000-0000E6010000}"/>
    <cellStyle name="S29 2" xfId="487" xr:uid="{00000000-0005-0000-0000-0000E7010000}"/>
    <cellStyle name="S3" xfId="488" xr:uid="{00000000-0005-0000-0000-0000E8010000}"/>
    <cellStyle name="S3 2" xfId="489" xr:uid="{00000000-0005-0000-0000-0000E9010000}"/>
    <cellStyle name="S3 3" xfId="490" xr:uid="{00000000-0005-0000-0000-0000EA010000}"/>
    <cellStyle name="S3 4" xfId="491" xr:uid="{00000000-0005-0000-0000-0000EB010000}"/>
    <cellStyle name="S3 5" xfId="492" xr:uid="{00000000-0005-0000-0000-0000EC010000}"/>
    <cellStyle name="S30" xfId="493" xr:uid="{00000000-0005-0000-0000-0000ED010000}"/>
    <cellStyle name="S30 2" xfId="494" xr:uid="{00000000-0005-0000-0000-0000EE010000}"/>
    <cellStyle name="S31" xfId="495" xr:uid="{00000000-0005-0000-0000-0000EF010000}"/>
    <cellStyle name="S31 2" xfId="496" xr:uid="{00000000-0005-0000-0000-0000F0010000}"/>
    <cellStyle name="S32" xfId="497" xr:uid="{00000000-0005-0000-0000-0000F1010000}"/>
    <cellStyle name="S32 2" xfId="498" xr:uid="{00000000-0005-0000-0000-0000F2010000}"/>
    <cellStyle name="S33" xfId="499" xr:uid="{00000000-0005-0000-0000-0000F3010000}"/>
    <cellStyle name="S33 2" xfId="500" xr:uid="{00000000-0005-0000-0000-0000F4010000}"/>
    <cellStyle name="S33 3" xfId="501" xr:uid="{00000000-0005-0000-0000-0000F5010000}"/>
    <cellStyle name="S33 4" xfId="502" xr:uid="{00000000-0005-0000-0000-0000F6010000}"/>
    <cellStyle name="S34" xfId="503" xr:uid="{00000000-0005-0000-0000-0000F7010000}"/>
    <cellStyle name="S34 2" xfId="504" xr:uid="{00000000-0005-0000-0000-0000F8010000}"/>
    <cellStyle name="S34 3" xfId="505" xr:uid="{00000000-0005-0000-0000-0000F9010000}"/>
    <cellStyle name="S34 4" xfId="506" xr:uid="{00000000-0005-0000-0000-0000FA010000}"/>
    <cellStyle name="S35" xfId="507" xr:uid="{00000000-0005-0000-0000-0000FB010000}"/>
    <cellStyle name="S35 2" xfId="508" xr:uid="{00000000-0005-0000-0000-0000FC010000}"/>
    <cellStyle name="S35 3" xfId="509" xr:uid="{00000000-0005-0000-0000-0000FD010000}"/>
    <cellStyle name="S36" xfId="510" xr:uid="{00000000-0005-0000-0000-0000FE010000}"/>
    <cellStyle name="S36 2" xfId="511" xr:uid="{00000000-0005-0000-0000-0000FF010000}"/>
    <cellStyle name="S36 3" xfId="512" xr:uid="{00000000-0005-0000-0000-000000020000}"/>
    <cellStyle name="S36 4" xfId="513" xr:uid="{00000000-0005-0000-0000-000001020000}"/>
    <cellStyle name="S37" xfId="514" xr:uid="{00000000-0005-0000-0000-000002020000}"/>
    <cellStyle name="S37 2" xfId="515" xr:uid="{00000000-0005-0000-0000-000003020000}"/>
    <cellStyle name="S38" xfId="516" xr:uid="{00000000-0005-0000-0000-000004020000}"/>
    <cellStyle name="S38 2" xfId="517" xr:uid="{00000000-0005-0000-0000-000005020000}"/>
    <cellStyle name="S38 3" xfId="518" xr:uid="{00000000-0005-0000-0000-000006020000}"/>
    <cellStyle name="S38 4" xfId="519" xr:uid="{00000000-0005-0000-0000-000007020000}"/>
    <cellStyle name="S39" xfId="520" xr:uid="{00000000-0005-0000-0000-000008020000}"/>
    <cellStyle name="S39 2" xfId="521" xr:uid="{00000000-0005-0000-0000-000009020000}"/>
    <cellStyle name="S39 3" xfId="522" xr:uid="{00000000-0005-0000-0000-00000A020000}"/>
    <cellStyle name="S39 4" xfId="523" xr:uid="{00000000-0005-0000-0000-00000B020000}"/>
    <cellStyle name="S4" xfId="524" xr:uid="{00000000-0005-0000-0000-00000C020000}"/>
    <cellStyle name="S4 2" xfId="525" xr:uid="{00000000-0005-0000-0000-00000D020000}"/>
    <cellStyle name="S4 3" xfId="526" xr:uid="{00000000-0005-0000-0000-00000E020000}"/>
    <cellStyle name="S4 4" xfId="527" xr:uid="{00000000-0005-0000-0000-00000F020000}"/>
    <cellStyle name="S4 5" xfId="528" xr:uid="{00000000-0005-0000-0000-000010020000}"/>
    <cellStyle name="S40" xfId="529" xr:uid="{00000000-0005-0000-0000-000011020000}"/>
    <cellStyle name="S40 2" xfId="530" xr:uid="{00000000-0005-0000-0000-000012020000}"/>
    <cellStyle name="S40 3" xfId="531" xr:uid="{00000000-0005-0000-0000-000013020000}"/>
    <cellStyle name="S41" xfId="532" xr:uid="{00000000-0005-0000-0000-000014020000}"/>
    <cellStyle name="S41 2" xfId="533" xr:uid="{00000000-0005-0000-0000-000015020000}"/>
    <cellStyle name="S42" xfId="534" xr:uid="{00000000-0005-0000-0000-000016020000}"/>
    <cellStyle name="S42 2" xfId="535" xr:uid="{00000000-0005-0000-0000-000017020000}"/>
    <cellStyle name="S43" xfId="536" xr:uid="{00000000-0005-0000-0000-000018020000}"/>
    <cellStyle name="S43 2" xfId="537" xr:uid="{00000000-0005-0000-0000-000019020000}"/>
    <cellStyle name="S44" xfId="538" xr:uid="{00000000-0005-0000-0000-00001A020000}"/>
    <cellStyle name="S45" xfId="539" xr:uid="{00000000-0005-0000-0000-00001B020000}"/>
    <cellStyle name="S45 2" xfId="540" xr:uid="{00000000-0005-0000-0000-00001C020000}"/>
    <cellStyle name="S46" xfId="541" xr:uid="{00000000-0005-0000-0000-00001D020000}"/>
    <cellStyle name="S46 2" xfId="542" xr:uid="{00000000-0005-0000-0000-00001E020000}"/>
    <cellStyle name="S47" xfId="543" xr:uid="{00000000-0005-0000-0000-00001F020000}"/>
    <cellStyle name="S5" xfId="544" xr:uid="{00000000-0005-0000-0000-000020020000}"/>
    <cellStyle name="S5 2" xfId="545" xr:uid="{00000000-0005-0000-0000-000021020000}"/>
    <cellStyle name="S5 3" xfId="546" xr:uid="{00000000-0005-0000-0000-000022020000}"/>
    <cellStyle name="S5 4" xfId="547" xr:uid="{00000000-0005-0000-0000-000023020000}"/>
    <cellStyle name="S5 5" xfId="548" xr:uid="{00000000-0005-0000-0000-000024020000}"/>
    <cellStyle name="S6" xfId="549" xr:uid="{00000000-0005-0000-0000-000025020000}"/>
    <cellStyle name="S6 2" xfId="550" xr:uid="{00000000-0005-0000-0000-000026020000}"/>
    <cellStyle name="S6 3" xfId="551" xr:uid="{00000000-0005-0000-0000-000027020000}"/>
    <cellStyle name="S6 4" xfId="552" xr:uid="{00000000-0005-0000-0000-000028020000}"/>
    <cellStyle name="S6 5" xfId="553" xr:uid="{00000000-0005-0000-0000-000029020000}"/>
    <cellStyle name="S7" xfId="554" xr:uid="{00000000-0005-0000-0000-00002A020000}"/>
    <cellStyle name="S7 2" xfId="555" xr:uid="{00000000-0005-0000-0000-00002B020000}"/>
    <cellStyle name="S7 3" xfId="556" xr:uid="{00000000-0005-0000-0000-00002C020000}"/>
    <cellStyle name="S7 4" xfId="557" xr:uid="{00000000-0005-0000-0000-00002D020000}"/>
    <cellStyle name="S8" xfId="558" xr:uid="{00000000-0005-0000-0000-00002E020000}"/>
    <cellStyle name="S8 2" xfId="559" xr:uid="{00000000-0005-0000-0000-00002F020000}"/>
    <cellStyle name="S8 3" xfId="560" xr:uid="{00000000-0005-0000-0000-000030020000}"/>
    <cellStyle name="S8 4" xfId="561" xr:uid="{00000000-0005-0000-0000-000031020000}"/>
    <cellStyle name="S8 5" xfId="562" xr:uid="{00000000-0005-0000-0000-000032020000}"/>
    <cellStyle name="S9" xfId="563" xr:uid="{00000000-0005-0000-0000-000033020000}"/>
    <cellStyle name="S9 2" xfId="564" xr:uid="{00000000-0005-0000-0000-000034020000}"/>
    <cellStyle name="S9 3" xfId="565" xr:uid="{00000000-0005-0000-0000-000035020000}"/>
    <cellStyle name="S9 4" xfId="566" xr:uid="{00000000-0005-0000-0000-000036020000}"/>
    <cellStyle name="S9 5" xfId="567" xr:uid="{00000000-0005-0000-0000-000037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307699</xdr:colOff>
      <xdr:row>0</xdr:row>
      <xdr:rowOff>85310</xdr:rowOff>
    </xdr:from>
    <xdr:to>
      <xdr:col>1</xdr:col>
      <xdr:colOff>258003</xdr:colOff>
      <xdr:row>3</xdr:row>
      <xdr:rowOff>110158</xdr:rowOff>
    </xdr:to>
    <xdr:pic>
      <xdr:nvPicPr>
        <xdr:cNvPr id="2" name="Picture 1" descr="https://epenatausahaan.jatengprov.go.id/themes/images/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99" y="85310"/>
          <a:ext cx="569429" cy="567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748230</xdr:colOff>
      <xdr:row>0</xdr:row>
      <xdr:rowOff>71437</xdr:rowOff>
    </xdr:from>
    <xdr:to>
      <xdr:col>1</xdr:col>
      <xdr:colOff>559594</xdr:colOff>
      <xdr:row>3</xdr:row>
      <xdr:rowOff>206896</xdr:rowOff>
    </xdr:to>
    <xdr:pic>
      <xdr:nvPicPr>
        <xdr:cNvPr id="2" name="Picture 1" descr="https://epenatausahaan.jatengprov.go.id/themes/images/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30" y="71437"/>
          <a:ext cx="823395" cy="814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</xdr:colOff>
      <xdr:row>0</xdr:row>
      <xdr:rowOff>91440</xdr:rowOff>
    </xdr:from>
    <xdr:to>
      <xdr:col>15</xdr:col>
      <xdr:colOff>853440</xdr:colOff>
      <xdr:row>4</xdr:row>
      <xdr:rowOff>175260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2940" y="91440"/>
          <a:ext cx="83058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KPD%20KOLUT%202006%20NET%20BUANGET\BUKU%201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Work\HAPSEM%20I%20KENDARI%202007\2_LHP%20Kendari%20Semester%20I%202007\1_LKPD\05_LHP%20LKPD%20Kolaka%20Utara\Buku%201\LRA%20Keuangan%20Au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RA%20Kolut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laka%20Utara\Book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%20data%202017\Dian%20File\Desk%202017\Materi%20Desk\lr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%20data%202017\Dian%20File\Desk%202017\Materi%20Desk\PENJELASAN%20MUTASI%20ASET%20TETAP%20AWAL%20SKPD%20TO%20OPD%20FI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KEUANGAN%202017\LAPORAN%20KEUANGAN%202017\LAPORAN%20BARANG%20TA%202017%2007%2003%202018%20OK%20YANG%20DIGUNAKAN\JURNAL%20KOMPLI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%20data%202017\Dian%20File\Desk%202017\Materi%20Desk\LAPKEU%20ANAUDITED%20TA%202016%20PER%20SKPD%203005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KEUANGAN%202017\LRA%20BY%20GRMS%202017\LRA%20BY%20GRM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EM"/>
      <sheetName val="EKBANG"/>
      <sheetName val="PMD"/>
      <sheetName val="KESBANG"/>
      <sheetName val="CAPIL"/>
      <sheetName val="BAPPEDA"/>
      <sheetName val="BAWASDA"/>
    </sheetNames>
    <sheetDataSet>
      <sheetData sheetId="0">
        <row r="5">
          <cell r="J5" t="str">
            <v>BAGIAN PEMERINTAHAN</v>
          </cell>
        </row>
      </sheetData>
      <sheetData sheetId="1">
        <row r="4">
          <cell r="J4" t="str">
            <v>BAGIAN EKONOMI PEMBANGUNAN</v>
          </cell>
        </row>
      </sheetData>
      <sheetData sheetId="2">
        <row r="5">
          <cell r="J5" t="str">
            <v>BAGIAN PEMBERDAYAAN MASYARAKAT DESA</v>
          </cell>
        </row>
      </sheetData>
      <sheetData sheetId="3">
        <row r="5">
          <cell r="J5" t="str">
            <v>KANTOR KESATUAN BANGSA DAN PERLINDUNGAN MASYARAKAT</v>
          </cell>
        </row>
      </sheetData>
      <sheetData sheetId="4">
        <row r="5">
          <cell r="J5" t="str">
            <v>KANTOR CATATAN SIPIL</v>
          </cell>
        </row>
      </sheetData>
      <sheetData sheetId="5">
        <row r="5">
          <cell r="J5" t="str">
            <v>B A P P E D A</v>
          </cell>
        </row>
      </sheetData>
      <sheetData sheetId="6">
        <row r="5">
          <cell r="J5" t="str">
            <v>B A W A S D 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ran Kas"/>
      <sheetName val="LRA"/>
      <sheetName val="Silpa"/>
      <sheetName val="UUDP 05"/>
      <sheetName val="Rekap Pdptn"/>
      <sheetName val="Pdptn"/>
      <sheetName val="Rekap Belanja"/>
      <sheetName val="Rekap Publik"/>
      <sheetName val="Publik"/>
      <sheetName val="Rekap Aprtr"/>
      <sheetName val="Aparatur"/>
      <sheetName val="Bant _ Tdk Trsangka"/>
      <sheetName val="Pembiayaan"/>
      <sheetName val="Gaji DPRD"/>
      <sheetName val="Bupati"/>
      <sheetName val="Setda"/>
      <sheetName val="Sekretaris"/>
      <sheetName val="Ast I"/>
      <sheetName val="Ast II"/>
      <sheetName val="KPUD"/>
      <sheetName val="Pemerintahan"/>
      <sheetName val="Hukum"/>
      <sheetName val="Ekbang"/>
      <sheetName val="PMD"/>
      <sheetName val="Kepegawaian"/>
      <sheetName val="Keuangan"/>
      <sheetName val="Umum"/>
      <sheetName val="Setwan"/>
      <sheetName val="Dispenda"/>
      <sheetName val="Bappeda"/>
      <sheetName val="Bawasda"/>
      <sheetName val="Kesbang"/>
      <sheetName val="Pertanian"/>
      <sheetName val="Tambang"/>
      <sheetName val="Hutan"/>
      <sheetName val="Perindag"/>
      <sheetName val="Kesehatan"/>
      <sheetName val="Dikbudpar"/>
      <sheetName val="PU"/>
      <sheetName val="Capil"/>
      <sheetName val="Lasusua"/>
      <sheetName val="Pakue"/>
      <sheetName val="B Putih"/>
      <sheetName val="R Angin"/>
      <sheetName val="Ngapa"/>
      <sheetName val="Kodeo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PATI"/>
      <sheetName val="WABUP"/>
      <sheetName val="DPRD"/>
      <sheetName val="SEKRETARIAT DAERAH"/>
      <sheetName val="SEKDA"/>
      <sheetName val="ASS. 1"/>
      <sheetName val="ASS. 2"/>
      <sheetName val="UMUM"/>
      <sheetName val="KEUANGAN"/>
      <sheetName val="KEPEGAWAIAN"/>
      <sheetName val="HUKUM"/>
      <sheetName val="PERTANIAN"/>
      <sheetName val="PERINDAG"/>
      <sheetName val="RT. ANGIN"/>
      <sheetName val="LASUSUA"/>
      <sheetName val="KODEOHA "/>
      <sheetName val="NGAPA"/>
      <sheetName val="PAKUE"/>
      <sheetName val="BT. PUTIH"/>
      <sheetName val="SETWAN"/>
      <sheetName val="KPUD kurang 66 jt"/>
      <sheetName val="PERTAMBANGAN"/>
      <sheetName val="PU "/>
      <sheetName val="KEHUTANAN"/>
      <sheetName val="KESEHATAN"/>
      <sheetName val="Aliran Kas"/>
      <sheetName val="LRA"/>
      <sheetName val="Silpa"/>
      <sheetName val="Rekap Pdptn"/>
      <sheetName val="Pdptn"/>
      <sheetName val="Rekap Belanja"/>
      <sheetName val="Rekap Publik"/>
      <sheetName val="Publik"/>
      <sheetName val="Rekap Aprtr"/>
      <sheetName val="Aparatur"/>
      <sheetName val="Bant &amp; Tdk Trsangka"/>
      <sheetName val="Pembiayaan"/>
      <sheetName val="DISPENDA"/>
      <sheetName val="DIKBUDP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KBUDPAR"/>
      <sheetName val="TAPEM"/>
      <sheetName val="EKBANG"/>
      <sheetName val="PMD"/>
      <sheetName val="KESBANG"/>
      <sheetName val="CAPIL"/>
      <sheetName val="BAPPEDA"/>
      <sheetName val="BAWASDA"/>
    </sheetNames>
    <sheetDataSet>
      <sheetData sheetId="0"/>
      <sheetData sheetId="1">
        <row r="5">
          <cell r="J5" t="str">
            <v>BAGIAN PEMERINTAHAN</v>
          </cell>
        </row>
      </sheetData>
      <sheetData sheetId="2">
        <row r="4">
          <cell r="J4" t="str">
            <v>BAGIAN EKONOMI PEMBANGUNAN</v>
          </cell>
        </row>
      </sheetData>
      <sheetData sheetId="3">
        <row r="5">
          <cell r="J5" t="str">
            <v>BAGIAN PEMBERDAYAAN MASYARAKAT DESA</v>
          </cell>
        </row>
      </sheetData>
      <sheetData sheetId="4">
        <row r="5">
          <cell r="J5" t="str">
            <v>KANTOR KESATUAN BANGSA DAN PERLINDUNGAN MASYARAKAT</v>
          </cell>
        </row>
      </sheetData>
      <sheetData sheetId="5">
        <row r="5">
          <cell r="J5" t="str">
            <v>KANTOR CATATAN SIPIL</v>
          </cell>
        </row>
      </sheetData>
      <sheetData sheetId="6">
        <row r="5">
          <cell r="J5" t="str">
            <v>B A P P E D A</v>
          </cell>
        </row>
      </sheetData>
      <sheetData sheetId="7">
        <row r="5">
          <cell r="J5" t="str">
            <v>B A W A S D 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TA 2017 PER SKPD"/>
    </sheetNames>
    <sheetDataSet>
      <sheetData sheetId="0">
        <row r="55">
          <cell r="BY55">
            <v>-182086298397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IT_ALL"/>
    </sheetNames>
    <sheetDataSet>
      <sheetData sheetId="0" refreshError="1">
        <row r="729">
          <cell r="F729">
            <v>420313734235</v>
          </cell>
          <cell r="R729">
            <v>24385223660</v>
          </cell>
          <cell r="AF729">
            <v>2799413049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TRAB"/>
      <sheetName val="EKTRAE"/>
      <sheetName val="DAFMUT"/>
      <sheetName val="JurnalAT"/>
      <sheetName val="AkuKIBB"/>
      <sheetName val="AkuKIBC"/>
      <sheetName val="AkuKIBD"/>
      <sheetName val="AkuDKIBB"/>
      <sheetName val="AkuDKIBC"/>
      <sheetName val="AkuDKIBD"/>
      <sheetName val="Reklas"/>
      <sheetName val="KIBL"/>
      <sheetName val="RkpAkum"/>
      <sheetName val="RKPBMD"/>
      <sheetName val="DETRKPBMD"/>
      <sheetName val="DETRKPAKUBMD"/>
      <sheetName val="ALLAkum"/>
      <sheetName val="JurMutasiALL"/>
      <sheetName val="RKPMut"/>
      <sheetName val="DETRKPAMO"/>
      <sheetName val="AMOATB"/>
      <sheetName val="AMODKIBATB"/>
      <sheetName val="EktraC"/>
      <sheetName val="EktraD"/>
      <sheetName val="KIBLKon"/>
      <sheetName val="ReklaPenyu"/>
      <sheetName val="JurnalAL"/>
      <sheetName val="JurnalATB"/>
      <sheetName val="JurnalKAD"/>
      <sheetName val="AkumulasiPenyusutan"/>
    </sheetNames>
    <sheetDataSet>
      <sheetData sheetId="0" refreshError="1"/>
      <sheetData sheetId="1" refreshError="1"/>
      <sheetData sheetId="2" refreshError="1"/>
      <sheetData sheetId="3" refreshError="1">
        <row r="35">
          <cell r="P35">
            <v>6088916166</v>
          </cell>
          <cell r="AB35">
            <v>3161371349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34">
          <cell r="F34">
            <v>147856029145.07001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SBLM KONVERSI OK"/>
      <sheetName val="LRA STLH KONVERSI OK"/>
      <sheetName val="LO KOMPILASI OK"/>
      <sheetName val="LPE KOMPILASI OK"/>
      <sheetName val="NERACA KOMPILASI OK"/>
      <sheetName val="LRA SBLM KONVERSI KOMPILASI"/>
      <sheetName val="LRA STLH KONVERSI KOMPILASI"/>
      <sheetName val="NERACA KOMPILASI"/>
      <sheetName val="LPE KOMPILASI"/>
      <sheetName val="LO KOMPILASI"/>
    </sheetNames>
    <sheetDataSet>
      <sheetData sheetId="0"/>
      <sheetData sheetId="1"/>
      <sheetData sheetId="2"/>
      <sheetData sheetId="3"/>
      <sheetData sheetId="4">
        <row r="155">
          <cell r="BM155">
            <v>259697687197.32001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D11">
            <v>2236180000</v>
          </cell>
        </row>
        <row r="19">
          <cell r="D19">
            <v>91833954174</v>
          </cell>
        </row>
        <row r="37">
          <cell r="D37">
            <v>8573450000</v>
          </cell>
        </row>
        <row r="50">
          <cell r="D50">
            <v>6009708715</v>
          </cell>
        </row>
        <row r="64">
          <cell r="D64">
            <v>518256150</v>
          </cell>
        </row>
        <row r="96">
          <cell r="D96">
            <v>2362276315</v>
          </cell>
        </row>
        <row r="97">
          <cell r="D97">
            <v>1570264655</v>
          </cell>
        </row>
        <row r="98">
          <cell r="D98">
            <v>792011660</v>
          </cell>
        </row>
        <row r="123">
          <cell r="D123">
            <v>19950000</v>
          </cell>
        </row>
        <row r="124">
          <cell r="D124">
            <v>19950000</v>
          </cell>
        </row>
        <row r="126">
          <cell r="D126">
            <v>248160000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04"/>
  <sheetViews>
    <sheetView view="pageBreakPreview" zoomScaleNormal="115" zoomScaleSheetLayoutView="100" workbookViewId="0">
      <selection activeCell="B26" sqref="B26"/>
    </sheetView>
  </sheetViews>
  <sheetFormatPr defaultRowHeight="14.25" x14ac:dyDescent="0.2"/>
  <cols>
    <col min="1" max="1" width="9.28515625" style="587" bestFit="1" customWidth="1"/>
    <col min="2" max="2" width="44" style="587" customWidth="1"/>
    <col min="3" max="4" width="15.5703125" style="587" bestFit="1" customWidth="1"/>
    <col min="5" max="5" width="8.28515625" style="587" bestFit="1" customWidth="1"/>
    <col min="6" max="6" width="13.5703125" style="587" bestFit="1" customWidth="1"/>
    <col min="7" max="7" width="9.140625" style="587"/>
    <col min="8" max="8" width="17" style="587" bestFit="1" customWidth="1"/>
    <col min="9" max="16384" width="9.140625" style="587"/>
  </cols>
  <sheetData>
    <row r="1" spans="1:6" x14ac:dyDescent="0.2">
      <c r="A1" s="695"/>
      <c r="B1" s="696" t="s">
        <v>127</v>
      </c>
      <c r="C1" s="696"/>
      <c r="D1" s="696"/>
      <c r="E1" s="696"/>
      <c r="F1" s="696"/>
    </row>
    <row r="2" spans="1:6" x14ac:dyDescent="0.2">
      <c r="A2" s="695"/>
      <c r="B2" s="696" t="s">
        <v>936</v>
      </c>
      <c r="C2" s="696"/>
      <c r="D2" s="696"/>
      <c r="E2" s="696"/>
      <c r="F2" s="696"/>
    </row>
    <row r="3" spans="1:6" x14ac:dyDescent="0.2">
      <c r="A3" s="695"/>
      <c r="B3" s="696" t="s">
        <v>1149</v>
      </c>
      <c r="C3" s="696"/>
      <c r="D3" s="696"/>
      <c r="E3" s="696"/>
      <c r="F3" s="696"/>
    </row>
    <row r="4" spans="1:6" x14ac:dyDescent="0.2">
      <c r="A4" s="695"/>
      <c r="B4" s="697" t="s">
        <v>937</v>
      </c>
      <c r="C4" s="697"/>
      <c r="D4" s="697"/>
      <c r="E4" s="697"/>
      <c r="F4" s="697"/>
    </row>
    <row r="5" spans="1:6" x14ac:dyDescent="0.2">
      <c r="A5" s="588"/>
    </row>
    <row r="6" spans="1:6" x14ac:dyDescent="0.2">
      <c r="A6" s="589" t="s">
        <v>938</v>
      </c>
      <c r="B6" s="589" t="s">
        <v>128</v>
      </c>
      <c r="C6" s="589" t="s">
        <v>939</v>
      </c>
      <c r="D6" s="589" t="s">
        <v>940</v>
      </c>
      <c r="E6" s="589" t="s">
        <v>129</v>
      </c>
      <c r="F6" s="589" t="s">
        <v>941</v>
      </c>
    </row>
    <row r="7" spans="1:6" x14ac:dyDescent="0.2">
      <c r="A7" s="589">
        <v>1</v>
      </c>
      <c r="B7" s="589">
        <v>2</v>
      </c>
      <c r="C7" s="589">
        <v>3</v>
      </c>
      <c r="D7" s="589">
        <v>4</v>
      </c>
      <c r="E7" s="589">
        <v>5</v>
      </c>
      <c r="F7" s="589">
        <v>6</v>
      </c>
    </row>
    <row r="8" spans="1:6" x14ac:dyDescent="0.2">
      <c r="A8" s="589"/>
      <c r="B8" s="589"/>
      <c r="C8" s="589"/>
      <c r="D8" s="589"/>
      <c r="E8" s="589"/>
      <c r="F8" s="589"/>
    </row>
    <row r="9" spans="1:6" x14ac:dyDescent="0.2">
      <c r="A9" s="590">
        <v>4</v>
      </c>
      <c r="B9" s="591" t="s">
        <v>130</v>
      </c>
      <c r="C9" s="592">
        <v>2425000000</v>
      </c>
      <c r="D9" s="592">
        <v>2236180000</v>
      </c>
      <c r="E9" s="593">
        <f t="shared" ref="E9:E14" si="0">+D9/C9</f>
        <v>0.92213608247422685</v>
      </c>
      <c r="F9" s="592">
        <v>188820000</v>
      </c>
    </row>
    <row r="10" spans="1:6" x14ac:dyDescent="0.2">
      <c r="A10" s="594">
        <v>0.1673611111111111</v>
      </c>
      <c r="B10" s="591" t="s">
        <v>131</v>
      </c>
      <c r="C10" s="592">
        <v>2425000000</v>
      </c>
      <c r="D10" s="592">
        <v>2236180000</v>
      </c>
      <c r="E10" s="593">
        <f t="shared" si="0"/>
        <v>0.92213608247422685</v>
      </c>
      <c r="F10" s="592">
        <v>188820000</v>
      </c>
    </row>
    <row r="11" spans="1:6" s="596" customFormat="1" x14ac:dyDescent="0.2">
      <c r="A11" s="595">
        <v>0.16738425925925926</v>
      </c>
      <c r="B11" s="591" t="s">
        <v>942</v>
      </c>
      <c r="C11" s="592">
        <v>2425000000</v>
      </c>
      <c r="D11" s="592">
        <v>2236180000</v>
      </c>
      <c r="E11" s="593">
        <f t="shared" si="0"/>
        <v>0.92213608247422685</v>
      </c>
      <c r="F11" s="592">
        <v>188820000</v>
      </c>
    </row>
    <row r="12" spans="1:6" s="596" customFormat="1" x14ac:dyDescent="0.2">
      <c r="A12" s="590" t="s">
        <v>943</v>
      </c>
      <c r="B12" s="591" t="s">
        <v>116</v>
      </c>
      <c r="C12" s="592">
        <v>2425000000</v>
      </c>
      <c r="D12" s="592">
        <v>2236180000</v>
      </c>
      <c r="E12" s="593">
        <f t="shared" si="0"/>
        <v>0.92213608247422685</v>
      </c>
      <c r="F12" s="592">
        <v>188820000</v>
      </c>
    </row>
    <row r="13" spans="1:6" ht="21" x14ac:dyDescent="0.2">
      <c r="A13" s="597" t="s">
        <v>944</v>
      </c>
      <c r="B13" s="598" t="s">
        <v>945</v>
      </c>
      <c r="C13" s="599">
        <v>2251600000</v>
      </c>
      <c r="D13" s="599">
        <v>2133480000</v>
      </c>
      <c r="E13" s="600">
        <f t="shared" si="0"/>
        <v>0.94753952744714864</v>
      </c>
      <c r="F13" s="599">
        <v>118120000</v>
      </c>
    </row>
    <row r="14" spans="1:6" x14ac:dyDescent="0.2">
      <c r="A14" s="597" t="s">
        <v>946</v>
      </c>
      <c r="B14" s="598" t="s">
        <v>947</v>
      </c>
      <c r="C14" s="599">
        <v>173400000</v>
      </c>
      <c r="D14" s="599">
        <v>102700000</v>
      </c>
      <c r="E14" s="600">
        <f t="shared" si="0"/>
        <v>0.59227220299884664</v>
      </c>
      <c r="F14" s="599">
        <v>70700000</v>
      </c>
    </row>
    <row r="15" spans="1:6" x14ac:dyDescent="0.2">
      <c r="A15" s="597"/>
      <c r="B15" s="598"/>
      <c r="C15" s="599"/>
      <c r="D15" s="599"/>
      <c r="E15" s="600"/>
      <c r="F15" s="599"/>
    </row>
    <row r="16" spans="1:6" x14ac:dyDescent="0.2">
      <c r="A16" s="597"/>
      <c r="B16" s="601" t="s">
        <v>948</v>
      </c>
      <c r="C16" s="592">
        <v>2425000000</v>
      </c>
      <c r="D16" s="592">
        <v>2236180000</v>
      </c>
      <c r="E16" s="593">
        <f>+D16/C16</f>
        <v>0.92213608247422685</v>
      </c>
      <c r="F16" s="592">
        <v>188820000</v>
      </c>
    </row>
    <row r="17" spans="1:8" x14ac:dyDescent="0.2">
      <c r="A17" s="597"/>
      <c r="B17" s="601"/>
      <c r="C17" s="592"/>
      <c r="D17" s="592"/>
      <c r="E17" s="593"/>
      <c r="F17" s="592"/>
    </row>
    <row r="18" spans="1:8" x14ac:dyDescent="0.2">
      <c r="A18" s="590">
        <v>5</v>
      </c>
      <c r="B18" s="591" t="s">
        <v>367</v>
      </c>
      <c r="C18" s="592">
        <v>193628487000</v>
      </c>
      <c r="D18" s="592">
        <v>184322478397</v>
      </c>
      <c r="E18" s="593">
        <f t="shared" ref="E18:E31" si="1">+D18/C18</f>
        <v>0.95193884563586972</v>
      </c>
      <c r="F18" s="592">
        <v>9306008603</v>
      </c>
      <c r="H18" s="602"/>
    </row>
    <row r="19" spans="1:8" x14ac:dyDescent="0.2">
      <c r="A19" s="594">
        <v>0.20902777777777778</v>
      </c>
      <c r="B19" s="591" t="s">
        <v>949</v>
      </c>
      <c r="C19" s="592">
        <v>93694779000</v>
      </c>
      <c r="D19" s="592">
        <v>91833954174</v>
      </c>
      <c r="E19" s="593">
        <f t="shared" si="1"/>
        <v>0.98013950354693724</v>
      </c>
      <c r="F19" s="592">
        <v>1860824826</v>
      </c>
      <c r="H19" s="602"/>
    </row>
    <row r="20" spans="1:8" s="596" customFormat="1" x14ac:dyDescent="0.2">
      <c r="A20" s="595">
        <v>0.20903935185185185</v>
      </c>
      <c r="B20" s="591" t="s">
        <v>392</v>
      </c>
      <c r="C20" s="592">
        <v>93694779000</v>
      </c>
      <c r="D20" s="592">
        <v>91833954174</v>
      </c>
      <c r="E20" s="593">
        <f t="shared" si="1"/>
        <v>0.98013950354693724</v>
      </c>
      <c r="F20" s="592">
        <v>1860824826</v>
      </c>
    </row>
    <row r="21" spans="1:8" s="596" customFormat="1" x14ac:dyDescent="0.2">
      <c r="A21" s="590" t="s">
        <v>950</v>
      </c>
      <c r="B21" s="591" t="s">
        <v>951</v>
      </c>
      <c r="C21" s="592">
        <v>41642484000</v>
      </c>
      <c r="D21" s="592">
        <v>40695277339</v>
      </c>
      <c r="E21" s="593">
        <f t="shared" si="1"/>
        <v>0.97725383862787818</v>
      </c>
      <c r="F21" s="592">
        <v>947206661</v>
      </c>
    </row>
    <row r="22" spans="1:8" x14ac:dyDescent="0.2">
      <c r="A22" s="597" t="s">
        <v>952</v>
      </c>
      <c r="B22" s="598" t="s">
        <v>953</v>
      </c>
      <c r="C22" s="599">
        <v>32740724000</v>
      </c>
      <c r="D22" s="599">
        <v>32200741700</v>
      </c>
      <c r="E22" s="600">
        <f t="shared" si="1"/>
        <v>0.98350731950826742</v>
      </c>
      <c r="F22" s="599">
        <v>539982300</v>
      </c>
    </row>
    <row r="23" spans="1:8" x14ac:dyDescent="0.2">
      <c r="A23" s="597" t="s">
        <v>954</v>
      </c>
      <c r="B23" s="598" t="s">
        <v>955</v>
      </c>
      <c r="C23" s="599">
        <v>2865640000</v>
      </c>
      <c r="D23" s="599">
        <v>2781976860</v>
      </c>
      <c r="E23" s="600">
        <f t="shared" si="1"/>
        <v>0.97080472773970217</v>
      </c>
      <c r="F23" s="599">
        <v>83663140</v>
      </c>
    </row>
    <row r="24" spans="1:8" x14ac:dyDescent="0.2">
      <c r="A24" s="597" t="s">
        <v>956</v>
      </c>
      <c r="B24" s="598" t="s">
        <v>957</v>
      </c>
      <c r="C24" s="599">
        <v>1624905000</v>
      </c>
      <c r="D24" s="599">
        <v>1604375000</v>
      </c>
      <c r="E24" s="600">
        <f t="shared" si="1"/>
        <v>0.9873654152088891</v>
      </c>
      <c r="F24" s="599">
        <v>20530000</v>
      </c>
    </row>
    <row r="25" spans="1:8" x14ac:dyDescent="0.2">
      <c r="A25" s="597" t="s">
        <v>958</v>
      </c>
      <c r="B25" s="598" t="s">
        <v>959</v>
      </c>
      <c r="C25" s="599">
        <v>36330000</v>
      </c>
      <c r="D25" s="599">
        <v>33630000</v>
      </c>
      <c r="E25" s="600">
        <f t="shared" si="1"/>
        <v>0.92568125516102395</v>
      </c>
      <c r="F25" s="599">
        <v>2700000</v>
      </c>
    </row>
    <row r="26" spans="1:8" x14ac:dyDescent="0.2">
      <c r="A26" s="597" t="s">
        <v>960</v>
      </c>
      <c r="B26" s="598" t="s">
        <v>961</v>
      </c>
      <c r="C26" s="599">
        <v>1365102000</v>
      </c>
      <c r="D26" s="599">
        <v>1302395000</v>
      </c>
      <c r="E26" s="600">
        <f t="shared" si="1"/>
        <v>0.95406423842320942</v>
      </c>
      <c r="F26" s="599">
        <v>62707000</v>
      </c>
    </row>
    <row r="27" spans="1:8" x14ac:dyDescent="0.2">
      <c r="A27" s="597" t="s">
        <v>962</v>
      </c>
      <c r="B27" s="598" t="s">
        <v>963</v>
      </c>
      <c r="C27" s="599">
        <v>1626318000</v>
      </c>
      <c r="D27" s="599">
        <v>1590632880</v>
      </c>
      <c r="E27" s="600">
        <f t="shared" si="1"/>
        <v>0.9780577230283376</v>
      </c>
      <c r="F27" s="599">
        <v>35685120</v>
      </c>
    </row>
    <row r="28" spans="1:8" x14ac:dyDescent="0.2">
      <c r="A28" s="597" t="s">
        <v>964</v>
      </c>
      <c r="B28" s="598" t="s">
        <v>965</v>
      </c>
      <c r="C28" s="599">
        <v>136988000</v>
      </c>
      <c r="D28" s="599">
        <v>123925711</v>
      </c>
      <c r="E28" s="600">
        <f t="shared" si="1"/>
        <v>0.90464647268373877</v>
      </c>
      <c r="F28" s="599">
        <v>13062289</v>
      </c>
    </row>
    <row r="29" spans="1:8" x14ac:dyDescent="0.2">
      <c r="A29" s="597" t="s">
        <v>966</v>
      </c>
      <c r="B29" s="598" t="s">
        <v>967</v>
      </c>
      <c r="C29" s="599">
        <v>426000</v>
      </c>
      <c r="D29" s="599">
        <v>416174</v>
      </c>
      <c r="E29" s="600">
        <f t="shared" si="1"/>
        <v>0.97693427230046948</v>
      </c>
      <c r="F29" s="599">
        <v>9826</v>
      </c>
    </row>
    <row r="30" spans="1:8" x14ac:dyDescent="0.2">
      <c r="A30" s="597" t="s">
        <v>968</v>
      </c>
      <c r="B30" s="598" t="s">
        <v>969</v>
      </c>
      <c r="C30" s="599">
        <v>1069090000</v>
      </c>
      <c r="D30" s="599">
        <v>907691212</v>
      </c>
      <c r="E30" s="600">
        <f t="shared" si="1"/>
        <v>0.84903161754389245</v>
      </c>
      <c r="F30" s="599">
        <v>161398788</v>
      </c>
    </row>
    <row r="31" spans="1:8" x14ac:dyDescent="0.2">
      <c r="A31" s="597" t="s">
        <v>970</v>
      </c>
      <c r="B31" s="598" t="s">
        <v>971</v>
      </c>
      <c r="C31" s="599">
        <v>176961000</v>
      </c>
      <c r="D31" s="599">
        <v>149492802</v>
      </c>
      <c r="E31" s="600">
        <f t="shared" si="1"/>
        <v>0.84477823927306017</v>
      </c>
      <c r="F31" s="599">
        <v>27468198</v>
      </c>
    </row>
    <row r="32" spans="1:8" x14ac:dyDescent="0.2">
      <c r="A32" s="597"/>
      <c r="B32" s="598"/>
      <c r="C32" s="599"/>
      <c r="D32" s="599"/>
      <c r="E32" s="600"/>
      <c r="F32" s="599"/>
    </row>
    <row r="33" spans="1:6" s="596" customFormat="1" x14ac:dyDescent="0.2">
      <c r="A33" s="590" t="s">
        <v>972</v>
      </c>
      <c r="B33" s="591" t="s">
        <v>973</v>
      </c>
      <c r="C33" s="592">
        <v>52052295000</v>
      </c>
      <c r="D33" s="592">
        <v>51138676835</v>
      </c>
      <c r="E33" s="593">
        <f>+D33/C33</f>
        <v>0.98244807140588131</v>
      </c>
      <c r="F33" s="592">
        <v>913618165</v>
      </c>
    </row>
    <row r="34" spans="1:6" x14ac:dyDescent="0.2">
      <c r="A34" s="597" t="s">
        <v>974</v>
      </c>
      <c r="B34" s="598" t="s">
        <v>975</v>
      </c>
      <c r="C34" s="599">
        <v>52052295000</v>
      </c>
      <c r="D34" s="599">
        <v>51138676835</v>
      </c>
      <c r="E34" s="600">
        <f>+D34/C34</f>
        <v>0.98244807140588131</v>
      </c>
      <c r="F34" s="599">
        <v>913618165</v>
      </c>
    </row>
    <row r="35" spans="1:6" x14ac:dyDescent="0.2">
      <c r="A35" s="597"/>
      <c r="B35" s="598"/>
      <c r="C35" s="599"/>
      <c r="D35" s="599"/>
      <c r="E35" s="600"/>
      <c r="F35" s="599"/>
    </row>
    <row r="36" spans="1:6" x14ac:dyDescent="0.2">
      <c r="A36" s="594">
        <v>0.20972222222222223</v>
      </c>
      <c r="B36" s="591" t="s">
        <v>976</v>
      </c>
      <c r="C36" s="592">
        <v>99933708000</v>
      </c>
      <c r="D36" s="592">
        <v>92488524223</v>
      </c>
      <c r="E36" s="593">
        <f t="shared" ref="E36:E41" si="2">+D36/C36</f>
        <v>0.9254987738771786</v>
      </c>
      <c r="F36" s="592">
        <v>7445183777</v>
      </c>
    </row>
    <row r="37" spans="1:6" s="596" customFormat="1" x14ac:dyDescent="0.2">
      <c r="A37" s="595">
        <v>0.20973379629629629</v>
      </c>
      <c r="B37" s="591" t="s">
        <v>392</v>
      </c>
      <c r="C37" s="592">
        <v>8972325000</v>
      </c>
      <c r="D37" s="592">
        <v>8573450000</v>
      </c>
      <c r="E37" s="593">
        <f t="shared" si="2"/>
        <v>0.95554385290323296</v>
      </c>
      <c r="F37" s="592">
        <v>398875000</v>
      </c>
    </row>
    <row r="38" spans="1:6" s="596" customFormat="1" x14ac:dyDescent="0.2">
      <c r="A38" s="590" t="s">
        <v>977</v>
      </c>
      <c r="B38" s="591" t="s">
        <v>695</v>
      </c>
      <c r="C38" s="592">
        <v>5737700000</v>
      </c>
      <c r="D38" s="592">
        <v>5468150000</v>
      </c>
      <c r="E38" s="593">
        <f t="shared" si="2"/>
        <v>0.9530212454467818</v>
      </c>
      <c r="F38" s="592">
        <v>269550000</v>
      </c>
    </row>
    <row r="39" spans="1:6" x14ac:dyDescent="0.2">
      <c r="A39" s="597" t="s">
        <v>978</v>
      </c>
      <c r="B39" s="598" t="s">
        <v>33</v>
      </c>
      <c r="C39" s="599">
        <v>5004400000</v>
      </c>
      <c r="D39" s="599">
        <v>4863400000</v>
      </c>
      <c r="E39" s="600">
        <f t="shared" si="2"/>
        <v>0.97182479418112067</v>
      </c>
      <c r="F39" s="599">
        <v>141000000</v>
      </c>
    </row>
    <row r="40" spans="1:6" x14ac:dyDescent="0.2">
      <c r="A40" s="597" t="s">
        <v>979</v>
      </c>
      <c r="B40" s="598" t="s">
        <v>617</v>
      </c>
      <c r="C40" s="599">
        <v>43900000</v>
      </c>
      <c r="D40" s="599">
        <v>38650000</v>
      </c>
      <c r="E40" s="600">
        <f t="shared" si="2"/>
        <v>0.88041002277904323</v>
      </c>
      <c r="F40" s="599">
        <v>5250000</v>
      </c>
    </row>
    <row r="41" spans="1:6" x14ac:dyDescent="0.2">
      <c r="A41" s="597" t="s">
        <v>980</v>
      </c>
      <c r="B41" s="598" t="s">
        <v>34</v>
      </c>
      <c r="C41" s="599">
        <v>689400000</v>
      </c>
      <c r="D41" s="599">
        <v>566100000</v>
      </c>
      <c r="E41" s="600">
        <f t="shared" si="2"/>
        <v>0.8211488250652742</v>
      </c>
      <c r="F41" s="599">
        <v>123300000</v>
      </c>
    </row>
    <row r="42" spans="1:6" x14ac:dyDescent="0.2">
      <c r="A42" s="597"/>
      <c r="B42" s="598"/>
      <c r="C42" s="599"/>
      <c r="D42" s="599"/>
      <c r="E42" s="600"/>
      <c r="F42" s="599"/>
    </row>
    <row r="43" spans="1:6" s="596" customFormat="1" x14ac:dyDescent="0.2">
      <c r="A43" s="590" t="s">
        <v>981</v>
      </c>
      <c r="B43" s="591" t="s">
        <v>982</v>
      </c>
      <c r="C43" s="592">
        <v>3234625000</v>
      </c>
      <c r="D43" s="592">
        <v>3105300000</v>
      </c>
      <c r="E43" s="593">
        <f>+D43/C43</f>
        <v>0.96001854929087604</v>
      </c>
      <c r="F43" s="592">
        <v>129325000</v>
      </c>
    </row>
    <row r="44" spans="1:6" x14ac:dyDescent="0.2">
      <c r="A44" s="597" t="s">
        <v>983</v>
      </c>
      <c r="B44" s="598" t="s">
        <v>619</v>
      </c>
      <c r="C44" s="599">
        <v>2311800000</v>
      </c>
      <c r="D44" s="599">
        <v>2304000000</v>
      </c>
      <c r="E44" s="600">
        <f>+D44/C44</f>
        <v>0.9966260057098365</v>
      </c>
      <c r="F44" s="599">
        <v>7800000</v>
      </c>
    </row>
    <row r="45" spans="1:6" x14ac:dyDescent="0.2">
      <c r="A45" s="597" t="s">
        <v>984</v>
      </c>
      <c r="B45" s="598" t="s">
        <v>37</v>
      </c>
      <c r="C45" s="599">
        <v>86600000</v>
      </c>
      <c r="D45" s="599">
        <v>83800000</v>
      </c>
      <c r="E45" s="600">
        <f>+D45/C45</f>
        <v>0.9676674364896074</v>
      </c>
      <c r="F45" s="599">
        <v>2800000</v>
      </c>
    </row>
    <row r="46" spans="1:6" x14ac:dyDescent="0.2">
      <c r="A46" s="597" t="s">
        <v>985</v>
      </c>
      <c r="B46" s="598" t="s">
        <v>38</v>
      </c>
      <c r="C46" s="599">
        <v>315800000</v>
      </c>
      <c r="D46" s="599">
        <v>296800000</v>
      </c>
      <c r="E46" s="600">
        <f>+D46/C46</f>
        <v>0.93983533882203929</v>
      </c>
      <c r="F46" s="599">
        <v>19000000</v>
      </c>
    </row>
    <row r="47" spans="1:6" x14ac:dyDescent="0.2">
      <c r="A47" s="597" t="s">
        <v>986</v>
      </c>
      <c r="B47" s="598" t="s">
        <v>40</v>
      </c>
      <c r="C47" s="599">
        <v>520425000</v>
      </c>
      <c r="D47" s="599">
        <v>420700000</v>
      </c>
      <c r="E47" s="600">
        <f>+D47/C47</f>
        <v>0.80837776817024543</v>
      </c>
      <c r="F47" s="599">
        <v>99725000</v>
      </c>
    </row>
    <row r="48" spans="1:6" x14ac:dyDescent="0.2">
      <c r="A48" s="597"/>
      <c r="B48" s="598"/>
      <c r="C48" s="599"/>
      <c r="D48" s="599"/>
      <c r="E48" s="600"/>
      <c r="F48" s="599"/>
    </row>
    <row r="49" spans="1:6" s="596" customFormat="1" x14ac:dyDescent="0.2">
      <c r="A49" s="595">
        <v>0.20974537037037036</v>
      </c>
      <c r="B49" s="591" t="s">
        <v>391</v>
      </c>
      <c r="C49" s="592">
        <v>87745733000</v>
      </c>
      <c r="D49" s="592">
        <v>80938910623</v>
      </c>
      <c r="E49" s="593">
        <f t="shared" ref="E49:E62" si="3">+D49/C49</f>
        <v>0.92242560242786964</v>
      </c>
      <c r="F49" s="592">
        <v>6806822377</v>
      </c>
    </row>
    <row r="50" spans="1:6" s="596" customFormat="1" x14ac:dyDescent="0.2">
      <c r="A50" s="590" t="s">
        <v>987</v>
      </c>
      <c r="B50" s="591" t="s">
        <v>700</v>
      </c>
      <c r="C50" s="592">
        <v>6500617000</v>
      </c>
      <c r="D50" s="592">
        <v>6009708715</v>
      </c>
      <c r="E50" s="593">
        <f t="shared" si="3"/>
        <v>0.92448281678492983</v>
      </c>
      <c r="F50" s="592">
        <v>490908285</v>
      </c>
    </row>
    <row r="51" spans="1:6" x14ac:dyDescent="0.2">
      <c r="A51" s="597" t="s">
        <v>988</v>
      </c>
      <c r="B51" s="598" t="s">
        <v>560</v>
      </c>
      <c r="C51" s="599">
        <v>2929591000</v>
      </c>
      <c r="D51" s="599">
        <v>2752819465</v>
      </c>
      <c r="E51" s="600">
        <f t="shared" si="3"/>
        <v>0.93965999520069521</v>
      </c>
      <c r="F51" s="599">
        <v>176771535</v>
      </c>
    </row>
    <row r="52" spans="1:6" ht="21" x14ac:dyDescent="0.2">
      <c r="A52" s="597" t="s">
        <v>989</v>
      </c>
      <c r="B52" s="598" t="s">
        <v>562</v>
      </c>
      <c r="C52" s="599">
        <v>340841000</v>
      </c>
      <c r="D52" s="599">
        <v>330953000</v>
      </c>
      <c r="E52" s="600">
        <f t="shared" si="3"/>
        <v>0.97098940561728198</v>
      </c>
      <c r="F52" s="599">
        <v>9888000</v>
      </c>
    </row>
    <row r="53" spans="1:6" x14ac:dyDescent="0.2">
      <c r="A53" s="597" t="s">
        <v>990</v>
      </c>
      <c r="B53" s="598" t="s">
        <v>563</v>
      </c>
      <c r="C53" s="599">
        <v>119771000</v>
      </c>
      <c r="D53" s="599">
        <v>115921350</v>
      </c>
      <c r="E53" s="600">
        <f t="shared" si="3"/>
        <v>0.96785824615307547</v>
      </c>
      <c r="F53" s="599">
        <v>3849650</v>
      </c>
    </row>
    <row r="54" spans="1:6" x14ac:dyDescent="0.2">
      <c r="A54" s="597" t="s">
        <v>991</v>
      </c>
      <c r="B54" s="598" t="s">
        <v>564</v>
      </c>
      <c r="C54" s="599">
        <v>17230000</v>
      </c>
      <c r="D54" s="599">
        <v>17230000</v>
      </c>
      <c r="E54" s="600">
        <f t="shared" si="3"/>
        <v>1</v>
      </c>
      <c r="F54" s="603">
        <v>0</v>
      </c>
    </row>
    <row r="55" spans="1:6" x14ac:dyDescent="0.2">
      <c r="A55" s="597" t="s">
        <v>992</v>
      </c>
      <c r="B55" s="598" t="s">
        <v>565</v>
      </c>
      <c r="C55" s="599">
        <v>270000000</v>
      </c>
      <c r="D55" s="599">
        <v>241617670</v>
      </c>
      <c r="E55" s="600">
        <f t="shared" si="3"/>
        <v>0.89488025925925929</v>
      </c>
      <c r="F55" s="599">
        <v>28382330</v>
      </c>
    </row>
    <row r="56" spans="1:6" x14ac:dyDescent="0.2">
      <c r="A56" s="597" t="s">
        <v>993</v>
      </c>
      <c r="B56" s="598" t="s">
        <v>567</v>
      </c>
      <c r="C56" s="599">
        <v>44400000</v>
      </c>
      <c r="D56" s="599">
        <v>38968430</v>
      </c>
      <c r="E56" s="600">
        <f t="shared" si="3"/>
        <v>0.87766734234234234</v>
      </c>
      <c r="F56" s="599">
        <v>5431570</v>
      </c>
    </row>
    <row r="57" spans="1:6" x14ac:dyDescent="0.2">
      <c r="A57" s="597" t="s">
        <v>994</v>
      </c>
      <c r="B57" s="598" t="s">
        <v>1</v>
      </c>
      <c r="C57" s="599">
        <v>253650000</v>
      </c>
      <c r="D57" s="599">
        <v>245610100</v>
      </c>
      <c r="E57" s="600">
        <f t="shared" si="3"/>
        <v>0.96830317366449836</v>
      </c>
      <c r="F57" s="599">
        <v>8039900</v>
      </c>
    </row>
    <row r="58" spans="1:6" x14ac:dyDescent="0.2">
      <c r="A58" s="597" t="s">
        <v>995</v>
      </c>
      <c r="B58" s="598" t="s">
        <v>569</v>
      </c>
      <c r="C58" s="599">
        <v>604561000</v>
      </c>
      <c r="D58" s="599">
        <v>542212700</v>
      </c>
      <c r="E58" s="600">
        <f t="shared" si="3"/>
        <v>0.89687012559526669</v>
      </c>
      <c r="F58" s="599">
        <v>62348300</v>
      </c>
    </row>
    <row r="59" spans="1:6" x14ac:dyDescent="0.2">
      <c r="A59" s="597" t="s">
        <v>996</v>
      </c>
      <c r="B59" s="598" t="s">
        <v>5</v>
      </c>
      <c r="C59" s="599">
        <v>853631000</v>
      </c>
      <c r="D59" s="599">
        <v>737594000</v>
      </c>
      <c r="E59" s="600">
        <f t="shared" si="3"/>
        <v>0.86406655803268628</v>
      </c>
      <c r="F59" s="599">
        <v>116037000</v>
      </c>
    </row>
    <row r="60" spans="1:6" x14ac:dyDescent="0.2">
      <c r="A60" s="597" t="s">
        <v>997</v>
      </c>
      <c r="B60" s="598" t="s">
        <v>570</v>
      </c>
      <c r="C60" s="599">
        <v>459100000</v>
      </c>
      <c r="D60" s="599">
        <v>428345000</v>
      </c>
      <c r="E60" s="600">
        <f t="shared" si="3"/>
        <v>0.93301023742104117</v>
      </c>
      <c r="F60" s="599">
        <v>30755000</v>
      </c>
    </row>
    <row r="61" spans="1:6" ht="21" x14ac:dyDescent="0.2">
      <c r="A61" s="597" t="s">
        <v>998</v>
      </c>
      <c r="B61" s="598" t="s">
        <v>509</v>
      </c>
      <c r="C61" s="599">
        <v>532842000</v>
      </c>
      <c r="D61" s="599">
        <v>483437000</v>
      </c>
      <c r="E61" s="600">
        <f t="shared" si="3"/>
        <v>0.90728020689059796</v>
      </c>
      <c r="F61" s="599">
        <v>49405000</v>
      </c>
    </row>
    <row r="62" spans="1:6" x14ac:dyDescent="0.2">
      <c r="A62" s="597" t="s">
        <v>999</v>
      </c>
      <c r="B62" s="598" t="s">
        <v>571</v>
      </c>
      <c r="C62" s="599">
        <v>75000000</v>
      </c>
      <c r="D62" s="599">
        <v>75000000</v>
      </c>
      <c r="E62" s="600">
        <f t="shared" si="3"/>
        <v>1</v>
      </c>
      <c r="F62" s="603">
        <v>0</v>
      </c>
    </row>
    <row r="63" spans="1:6" x14ac:dyDescent="0.2">
      <c r="A63" s="597"/>
      <c r="B63" s="598"/>
      <c r="C63" s="599"/>
      <c r="D63" s="599"/>
      <c r="E63" s="600"/>
      <c r="F63" s="603"/>
    </row>
    <row r="64" spans="1:6" x14ac:dyDescent="0.2">
      <c r="A64" s="597"/>
      <c r="B64" s="598"/>
      <c r="C64" s="599"/>
      <c r="D64" s="599"/>
      <c r="E64" s="600"/>
      <c r="F64" s="603"/>
    </row>
    <row r="65" spans="1:6" s="596" customFormat="1" x14ac:dyDescent="0.2">
      <c r="A65" s="590" t="s">
        <v>1000</v>
      </c>
      <c r="B65" s="591" t="s">
        <v>169</v>
      </c>
      <c r="C65" s="592">
        <v>544250000</v>
      </c>
      <c r="D65" s="592">
        <v>518256150</v>
      </c>
      <c r="E65" s="593">
        <f>+D65/C65</f>
        <v>0.95223913642627467</v>
      </c>
      <c r="F65" s="592">
        <v>25993850</v>
      </c>
    </row>
    <row r="66" spans="1:6" x14ac:dyDescent="0.2">
      <c r="A66" s="597" t="s">
        <v>1001</v>
      </c>
      <c r="B66" s="598" t="s">
        <v>572</v>
      </c>
      <c r="C66" s="599">
        <v>238500000</v>
      </c>
      <c r="D66" s="599">
        <v>237277000</v>
      </c>
      <c r="E66" s="600">
        <f>+D66/C66</f>
        <v>0.99487211740041925</v>
      </c>
      <c r="F66" s="599">
        <v>1223000</v>
      </c>
    </row>
    <row r="67" spans="1:6" x14ac:dyDescent="0.2">
      <c r="A67" s="597" t="s">
        <v>1002</v>
      </c>
      <c r="B67" s="598" t="s">
        <v>575</v>
      </c>
      <c r="C67" s="599">
        <v>97250000</v>
      </c>
      <c r="D67" s="599">
        <v>86159150</v>
      </c>
      <c r="E67" s="600">
        <f>+D67/C67</f>
        <v>0.88595526992287921</v>
      </c>
      <c r="F67" s="599">
        <v>11090850</v>
      </c>
    </row>
    <row r="68" spans="1:6" x14ac:dyDescent="0.2">
      <c r="A68" s="597" t="s">
        <v>1003</v>
      </c>
      <c r="B68" s="598" t="s">
        <v>580</v>
      </c>
      <c r="C68" s="599">
        <v>95000000</v>
      </c>
      <c r="D68" s="599">
        <v>85820000</v>
      </c>
      <c r="E68" s="600">
        <f>+D68/C68</f>
        <v>0.9033684210526316</v>
      </c>
      <c r="F68" s="599">
        <v>9180000</v>
      </c>
    </row>
    <row r="69" spans="1:6" x14ac:dyDescent="0.2">
      <c r="A69" s="597" t="s">
        <v>1004</v>
      </c>
      <c r="B69" s="598" t="s">
        <v>12</v>
      </c>
      <c r="C69" s="599">
        <v>113500000</v>
      </c>
      <c r="D69" s="599">
        <v>109000000</v>
      </c>
      <c r="E69" s="600">
        <f>+D69/C69</f>
        <v>0.96035242290748901</v>
      </c>
      <c r="F69" s="599">
        <v>4500000</v>
      </c>
    </row>
    <row r="70" spans="1:6" x14ac:dyDescent="0.2">
      <c r="A70" s="597"/>
      <c r="B70" s="598"/>
      <c r="C70" s="599"/>
      <c r="D70" s="599"/>
      <c r="E70" s="600"/>
      <c r="F70" s="599"/>
    </row>
    <row r="71" spans="1:6" s="596" customFormat="1" x14ac:dyDescent="0.2">
      <c r="A71" s="590" t="s">
        <v>1005</v>
      </c>
      <c r="B71" s="591" t="s">
        <v>701</v>
      </c>
      <c r="C71" s="592">
        <v>15187077000</v>
      </c>
      <c r="D71" s="592">
        <v>14176135625</v>
      </c>
      <c r="E71" s="593">
        <f t="shared" ref="E71:E76" si="4">+D71/C71</f>
        <v>0.93343410486428691</v>
      </c>
      <c r="F71" s="592">
        <v>1010941375</v>
      </c>
    </row>
    <row r="72" spans="1:6" x14ac:dyDescent="0.2">
      <c r="A72" s="597" t="s">
        <v>1006</v>
      </c>
      <c r="B72" s="598" t="s">
        <v>539</v>
      </c>
      <c r="C72" s="599">
        <v>1055000000</v>
      </c>
      <c r="D72" s="599">
        <v>930063769</v>
      </c>
      <c r="E72" s="600">
        <f t="shared" si="4"/>
        <v>0.88157703222748818</v>
      </c>
      <c r="F72" s="599">
        <v>124936231</v>
      </c>
    </row>
    <row r="73" spans="1:6" x14ac:dyDescent="0.2">
      <c r="A73" s="597" t="s">
        <v>1007</v>
      </c>
      <c r="B73" s="598" t="s">
        <v>540</v>
      </c>
      <c r="C73" s="599">
        <v>560000000</v>
      </c>
      <c r="D73" s="599">
        <v>544494882</v>
      </c>
      <c r="E73" s="600">
        <f t="shared" si="4"/>
        <v>0.97231228928571434</v>
      </c>
      <c r="F73" s="599">
        <v>15505118</v>
      </c>
    </row>
    <row r="74" spans="1:6" x14ac:dyDescent="0.2">
      <c r="A74" s="597" t="s">
        <v>1008</v>
      </c>
      <c r="B74" s="598" t="s">
        <v>541</v>
      </c>
      <c r="C74" s="599">
        <v>4671500000</v>
      </c>
      <c r="D74" s="599">
        <v>4409967414</v>
      </c>
      <c r="E74" s="600">
        <f t="shared" si="4"/>
        <v>0.94401528716686289</v>
      </c>
      <c r="F74" s="599">
        <v>261532586</v>
      </c>
    </row>
    <row r="75" spans="1:6" x14ac:dyDescent="0.2">
      <c r="A75" s="597" t="s">
        <v>1009</v>
      </c>
      <c r="B75" s="598" t="s">
        <v>543</v>
      </c>
      <c r="C75" s="599">
        <v>149187000</v>
      </c>
      <c r="D75" s="599">
        <v>80417500</v>
      </c>
      <c r="E75" s="600">
        <f t="shared" si="4"/>
        <v>0.53903825400336491</v>
      </c>
      <c r="F75" s="599">
        <v>68769500</v>
      </c>
    </row>
    <row r="76" spans="1:6" x14ac:dyDescent="0.2">
      <c r="A76" s="597" t="s">
        <v>1010</v>
      </c>
      <c r="B76" s="598" t="s">
        <v>544</v>
      </c>
      <c r="C76" s="599">
        <v>161800000</v>
      </c>
      <c r="D76" s="599">
        <v>127330615</v>
      </c>
      <c r="E76" s="600">
        <f t="shared" si="4"/>
        <v>0.78696300988875156</v>
      </c>
      <c r="F76" s="599">
        <v>34469385</v>
      </c>
    </row>
    <row r="77" spans="1:6" x14ac:dyDescent="0.2">
      <c r="A77" s="597" t="s">
        <v>1011</v>
      </c>
      <c r="B77" s="598" t="s">
        <v>545</v>
      </c>
      <c r="C77" s="603">
        <v>0</v>
      </c>
      <c r="D77" s="603">
        <v>0</v>
      </c>
      <c r="E77" s="600">
        <v>0</v>
      </c>
      <c r="F77" s="603">
        <v>0</v>
      </c>
    </row>
    <row r="78" spans="1:6" x14ac:dyDescent="0.2">
      <c r="A78" s="597" t="s">
        <v>1012</v>
      </c>
      <c r="B78" s="598" t="s">
        <v>50</v>
      </c>
      <c r="C78" s="599">
        <v>70000000</v>
      </c>
      <c r="D78" s="599">
        <v>70000000</v>
      </c>
      <c r="E78" s="600">
        <f>+D78/C78</f>
        <v>1</v>
      </c>
      <c r="F78" s="603">
        <v>0</v>
      </c>
    </row>
    <row r="79" spans="1:6" x14ac:dyDescent="0.2">
      <c r="A79" s="597" t="s">
        <v>1013</v>
      </c>
      <c r="B79" s="598" t="s">
        <v>54</v>
      </c>
      <c r="C79" s="599">
        <v>631000000</v>
      </c>
      <c r="D79" s="599">
        <v>586633425</v>
      </c>
      <c r="E79" s="600">
        <f>+D79/C79</f>
        <v>0.92968847068145799</v>
      </c>
      <c r="F79" s="599">
        <v>44366575</v>
      </c>
    </row>
    <row r="80" spans="1:6" x14ac:dyDescent="0.2">
      <c r="A80" s="597" t="s">
        <v>1014</v>
      </c>
      <c r="B80" s="598" t="s">
        <v>57</v>
      </c>
      <c r="C80" s="599">
        <v>738790000</v>
      </c>
      <c r="D80" s="599">
        <v>717602000</v>
      </c>
      <c r="E80" s="600">
        <f>+D80/C80</f>
        <v>0.97132067299232527</v>
      </c>
      <c r="F80" s="599">
        <v>21188000</v>
      </c>
    </row>
    <row r="81" spans="1:6" x14ac:dyDescent="0.2">
      <c r="A81" s="597" t="s">
        <v>1015</v>
      </c>
      <c r="B81" s="598" t="s">
        <v>59</v>
      </c>
      <c r="C81" s="599">
        <v>4573150000</v>
      </c>
      <c r="D81" s="599">
        <v>4324510000</v>
      </c>
      <c r="E81" s="600">
        <f>+D81/C81</f>
        <v>0.94563047352481333</v>
      </c>
      <c r="F81" s="599">
        <v>248640000</v>
      </c>
    </row>
    <row r="82" spans="1:6" x14ac:dyDescent="0.2">
      <c r="A82" s="597" t="s">
        <v>1016</v>
      </c>
      <c r="B82" s="598" t="s">
        <v>60</v>
      </c>
      <c r="C82" s="599">
        <v>311500000</v>
      </c>
      <c r="D82" s="599">
        <v>204500000</v>
      </c>
      <c r="E82" s="600">
        <f t="shared" ref="E82:E162" si="5">+D82/C82</f>
        <v>0.6565008025682183</v>
      </c>
      <c r="F82" s="599">
        <v>107000000</v>
      </c>
    </row>
    <row r="83" spans="1:6" x14ac:dyDescent="0.2">
      <c r="A83" s="597" t="s">
        <v>1017</v>
      </c>
      <c r="B83" s="598" t="s">
        <v>61</v>
      </c>
      <c r="C83" s="599">
        <v>199800000</v>
      </c>
      <c r="D83" s="599">
        <v>198960000</v>
      </c>
      <c r="E83" s="600">
        <f t="shared" si="5"/>
        <v>0.9957957957957958</v>
      </c>
      <c r="F83" s="599">
        <v>840000</v>
      </c>
    </row>
    <row r="84" spans="1:6" x14ac:dyDescent="0.2">
      <c r="A84" s="597" t="s">
        <v>1018</v>
      </c>
      <c r="B84" s="598" t="s">
        <v>552</v>
      </c>
      <c r="C84" s="599">
        <v>30000000</v>
      </c>
      <c r="D84" s="603">
        <v>0</v>
      </c>
      <c r="E84" s="600">
        <f t="shared" si="5"/>
        <v>0</v>
      </c>
      <c r="F84" s="599">
        <v>30000000</v>
      </c>
    </row>
    <row r="85" spans="1:6" x14ac:dyDescent="0.2">
      <c r="A85" s="597" t="s">
        <v>1019</v>
      </c>
      <c r="B85" s="598" t="s">
        <v>553</v>
      </c>
      <c r="C85" s="599">
        <v>1635750000</v>
      </c>
      <c r="D85" s="599">
        <v>1583142020</v>
      </c>
      <c r="E85" s="600">
        <f t="shared" si="5"/>
        <v>0.96783861837077789</v>
      </c>
      <c r="F85" s="599">
        <v>52607980</v>
      </c>
    </row>
    <row r="86" spans="1:6" x14ac:dyDescent="0.2">
      <c r="A86" s="597" t="s">
        <v>1020</v>
      </c>
      <c r="B86" s="598" t="s">
        <v>554</v>
      </c>
      <c r="C86" s="599">
        <v>199800000</v>
      </c>
      <c r="D86" s="599">
        <v>199158000</v>
      </c>
      <c r="E86" s="600">
        <f t="shared" si="5"/>
        <v>0.99678678678678678</v>
      </c>
      <c r="F86" s="599">
        <v>642000</v>
      </c>
    </row>
    <row r="87" spans="1:6" x14ac:dyDescent="0.2">
      <c r="A87" s="597" t="s">
        <v>1021</v>
      </c>
      <c r="B87" s="598" t="s">
        <v>555</v>
      </c>
      <c r="C87" s="599">
        <v>199800000</v>
      </c>
      <c r="D87" s="599">
        <v>199356000</v>
      </c>
      <c r="E87" s="600">
        <f t="shared" si="5"/>
        <v>0.99777777777777776</v>
      </c>
      <c r="F87" s="599">
        <v>444000</v>
      </c>
    </row>
    <row r="88" spans="1:6" x14ac:dyDescent="0.2">
      <c r="A88" s="597"/>
      <c r="B88" s="598"/>
      <c r="C88" s="599"/>
      <c r="D88" s="599"/>
      <c r="E88" s="600"/>
      <c r="F88" s="599"/>
    </row>
    <row r="89" spans="1:6" s="596" customFormat="1" x14ac:dyDescent="0.2">
      <c r="A89" s="590" t="s">
        <v>1022</v>
      </c>
      <c r="B89" s="591" t="s">
        <v>702</v>
      </c>
      <c r="C89" s="592">
        <v>571000000</v>
      </c>
      <c r="D89" s="592">
        <v>541961500</v>
      </c>
      <c r="E89" s="593">
        <f t="shared" si="5"/>
        <v>0.94914448336252188</v>
      </c>
      <c r="F89" s="592">
        <v>29038500</v>
      </c>
    </row>
    <row r="90" spans="1:6" x14ac:dyDescent="0.2">
      <c r="A90" s="597" t="s">
        <v>1023</v>
      </c>
      <c r="B90" s="598" t="s">
        <v>21</v>
      </c>
      <c r="C90" s="599">
        <v>511000000</v>
      </c>
      <c r="D90" s="599">
        <v>489808000</v>
      </c>
      <c r="E90" s="600">
        <f t="shared" si="5"/>
        <v>0.95852837573385519</v>
      </c>
      <c r="F90" s="599">
        <v>21192000</v>
      </c>
    </row>
    <row r="91" spans="1:6" x14ac:dyDescent="0.2">
      <c r="A91" s="597" t="s">
        <v>1024</v>
      </c>
      <c r="B91" s="598" t="s">
        <v>319</v>
      </c>
      <c r="C91" s="599">
        <v>60000000</v>
      </c>
      <c r="D91" s="599">
        <v>52153500</v>
      </c>
      <c r="E91" s="600">
        <f t="shared" si="5"/>
        <v>0.86922500000000003</v>
      </c>
      <c r="F91" s="599">
        <v>7846500</v>
      </c>
    </row>
    <row r="92" spans="1:6" x14ac:dyDescent="0.2">
      <c r="A92" s="597"/>
      <c r="B92" s="598"/>
      <c r="C92" s="599"/>
      <c r="D92" s="599"/>
      <c r="E92" s="600"/>
      <c r="F92" s="599"/>
    </row>
    <row r="93" spans="1:6" s="596" customFormat="1" x14ac:dyDescent="0.2">
      <c r="A93" s="590" t="s">
        <v>1025</v>
      </c>
      <c r="B93" s="591" t="s">
        <v>703</v>
      </c>
      <c r="C93" s="592">
        <v>3459000000</v>
      </c>
      <c r="D93" s="592">
        <v>3195815089</v>
      </c>
      <c r="E93" s="593">
        <f t="shared" si="5"/>
        <v>0.92391300636021967</v>
      </c>
      <c r="F93" s="592">
        <v>263184911</v>
      </c>
    </row>
    <row r="94" spans="1:6" x14ac:dyDescent="0.2">
      <c r="A94" s="597" t="s">
        <v>1026</v>
      </c>
      <c r="B94" s="598" t="s">
        <v>85</v>
      </c>
      <c r="C94" s="599">
        <v>3274000000</v>
      </c>
      <c r="D94" s="599">
        <v>3011565089</v>
      </c>
      <c r="E94" s="600">
        <f t="shared" si="5"/>
        <v>0.9198427272449603</v>
      </c>
      <c r="F94" s="599">
        <v>262434911</v>
      </c>
    </row>
    <row r="95" spans="1:6" x14ac:dyDescent="0.2">
      <c r="A95" s="597" t="s">
        <v>1027</v>
      </c>
      <c r="B95" s="598" t="s">
        <v>86</v>
      </c>
      <c r="C95" s="599">
        <v>185000000</v>
      </c>
      <c r="D95" s="599">
        <v>184250000</v>
      </c>
      <c r="E95" s="600">
        <f t="shared" si="5"/>
        <v>0.99594594594594599</v>
      </c>
      <c r="F95" s="599">
        <v>750000</v>
      </c>
    </row>
    <row r="96" spans="1:6" x14ac:dyDescent="0.2">
      <c r="A96" s="597"/>
      <c r="B96" s="598"/>
      <c r="C96" s="599"/>
      <c r="D96" s="599"/>
      <c r="E96" s="600"/>
      <c r="F96" s="599"/>
    </row>
    <row r="97" spans="1:6" s="596" customFormat="1" x14ac:dyDescent="0.2">
      <c r="A97" s="590" t="s">
        <v>1028</v>
      </c>
      <c r="B97" s="591" t="s">
        <v>704</v>
      </c>
      <c r="C97" s="592">
        <v>2627523000</v>
      </c>
      <c r="D97" s="592">
        <v>2362276315</v>
      </c>
      <c r="E97" s="593">
        <f t="shared" si="5"/>
        <v>0.89905067053647103</v>
      </c>
      <c r="F97" s="592">
        <v>265246685</v>
      </c>
    </row>
    <row r="98" spans="1:6" x14ac:dyDescent="0.2">
      <c r="A98" s="597" t="s">
        <v>1029</v>
      </c>
      <c r="B98" s="598" t="s">
        <v>170</v>
      </c>
      <c r="C98" s="599">
        <v>1696584000</v>
      </c>
      <c r="D98" s="599">
        <v>1570264655</v>
      </c>
      <c r="E98" s="600">
        <f t="shared" si="5"/>
        <v>0.92554489197116085</v>
      </c>
      <c r="F98" s="599">
        <v>126319345</v>
      </c>
    </row>
    <row r="99" spans="1:6" x14ac:dyDescent="0.2">
      <c r="A99" s="597" t="s">
        <v>1030</v>
      </c>
      <c r="B99" s="598" t="s">
        <v>66</v>
      </c>
      <c r="C99" s="599">
        <v>930939000</v>
      </c>
      <c r="D99" s="599">
        <v>792011660</v>
      </c>
      <c r="E99" s="600">
        <f t="shared" si="5"/>
        <v>0.85076644119539524</v>
      </c>
      <c r="F99" s="599">
        <v>138927340</v>
      </c>
    </row>
    <row r="100" spans="1:6" x14ac:dyDescent="0.2">
      <c r="A100" s="597"/>
      <c r="B100" s="598"/>
      <c r="C100" s="599"/>
      <c r="D100" s="599"/>
      <c r="E100" s="600"/>
      <c r="F100" s="599"/>
    </row>
    <row r="101" spans="1:6" s="596" customFormat="1" x14ac:dyDescent="0.2">
      <c r="A101" s="590" t="s">
        <v>1031</v>
      </c>
      <c r="B101" s="591" t="s">
        <v>705</v>
      </c>
      <c r="C101" s="592">
        <v>2800150000</v>
      </c>
      <c r="D101" s="592">
        <v>2584285000</v>
      </c>
      <c r="E101" s="593">
        <f t="shared" si="5"/>
        <v>0.92290948699176834</v>
      </c>
      <c r="F101" s="592">
        <v>215865000</v>
      </c>
    </row>
    <row r="102" spans="1:6" x14ac:dyDescent="0.2">
      <c r="A102" s="597" t="s">
        <v>1032</v>
      </c>
      <c r="B102" s="598" t="s">
        <v>524</v>
      </c>
      <c r="C102" s="599">
        <v>407400000</v>
      </c>
      <c r="D102" s="599">
        <v>381300000</v>
      </c>
      <c r="E102" s="600">
        <f t="shared" si="5"/>
        <v>0.93593519882179677</v>
      </c>
      <c r="F102" s="599">
        <v>26100000</v>
      </c>
    </row>
    <row r="103" spans="1:6" x14ac:dyDescent="0.2">
      <c r="A103" s="597" t="s">
        <v>1033</v>
      </c>
      <c r="B103" s="598" t="s">
        <v>525</v>
      </c>
      <c r="C103" s="599">
        <v>255620000</v>
      </c>
      <c r="D103" s="599">
        <v>219265000</v>
      </c>
      <c r="E103" s="600">
        <f t="shared" si="5"/>
        <v>0.85777716923558411</v>
      </c>
      <c r="F103" s="599">
        <v>36355000</v>
      </c>
    </row>
    <row r="104" spans="1:6" x14ac:dyDescent="0.2">
      <c r="A104" s="597" t="s">
        <v>1034</v>
      </c>
      <c r="B104" s="598" t="s">
        <v>527</v>
      </c>
      <c r="C104" s="599">
        <v>49700000</v>
      </c>
      <c r="D104" s="599">
        <v>29000000</v>
      </c>
      <c r="E104" s="600">
        <f t="shared" si="5"/>
        <v>0.58350100603621735</v>
      </c>
      <c r="F104" s="599">
        <v>20700000</v>
      </c>
    </row>
    <row r="105" spans="1:6" x14ac:dyDescent="0.2">
      <c r="A105" s="597" t="s">
        <v>1035</v>
      </c>
      <c r="B105" s="598" t="s">
        <v>528</v>
      </c>
      <c r="C105" s="599">
        <v>2087430000</v>
      </c>
      <c r="D105" s="599">
        <v>1954720000</v>
      </c>
      <c r="E105" s="600">
        <f t="shared" si="5"/>
        <v>0.93642421542279264</v>
      </c>
      <c r="F105" s="599">
        <v>132710000</v>
      </c>
    </row>
    <row r="106" spans="1:6" x14ac:dyDescent="0.2">
      <c r="A106" s="597"/>
      <c r="B106" s="598"/>
      <c r="C106" s="599"/>
      <c r="D106" s="599"/>
      <c r="E106" s="600"/>
      <c r="F106" s="599"/>
    </row>
    <row r="107" spans="1:6" s="596" customFormat="1" x14ac:dyDescent="0.2">
      <c r="A107" s="590" t="s">
        <v>1036</v>
      </c>
      <c r="B107" s="591" t="s">
        <v>182</v>
      </c>
      <c r="C107" s="592">
        <v>463750000</v>
      </c>
      <c r="D107" s="592">
        <v>393420000</v>
      </c>
      <c r="E107" s="593">
        <f t="shared" si="5"/>
        <v>0.84834501347708891</v>
      </c>
      <c r="F107" s="592">
        <v>70330000</v>
      </c>
    </row>
    <row r="108" spans="1:6" x14ac:dyDescent="0.2">
      <c r="A108" s="597" t="s">
        <v>1037</v>
      </c>
      <c r="B108" s="598" t="s">
        <v>1038</v>
      </c>
      <c r="C108" s="599">
        <v>463750000</v>
      </c>
      <c r="D108" s="599">
        <v>393420000</v>
      </c>
      <c r="E108" s="600">
        <f t="shared" si="5"/>
        <v>0.84834501347708891</v>
      </c>
      <c r="F108" s="599">
        <v>70330000</v>
      </c>
    </row>
    <row r="109" spans="1:6" x14ac:dyDescent="0.2">
      <c r="A109" s="597"/>
      <c r="B109" s="598"/>
      <c r="C109" s="599"/>
      <c r="D109" s="599"/>
      <c r="E109" s="600"/>
      <c r="F109" s="599"/>
    </row>
    <row r="110" spans="1:6" s="596" customFormat="1" x14ac:dyDescent="0.2">
      <c r="A110" s="590" t="s">
        <v>1039</v>
      </c>
      <c r="B110" s="591" t="s">
        <v>706</v>
      </c>
      <c r="C110" s="592">
        <v>3118663000</v>
      </c>
      <c r="D110" s="592">
        <v>2707763000</v>
      </c>
      <c r="E110" s="593">
        <f t="shared" si="5"/>
        <v>0.86824482157899074</v>
      </c>
      <c r="F110" s="592">
        <v>410900000</v>
      </c>
    </row>
    <row r="111" spans="1:6" x14ac:dyDescent="0.2">
      <c r="A111" s="597" t="s">
        <v>1040</v>
      </c>
      <c r="B111" s="598" t="s">
        <v>532</v>
      </c>
      <c r="C111" s="599">
        <v>351630000</v>
      </c>
      <c r="D111" s="599">
        <v>287190000</v>
      </c>
      <c r="E111" s="600">
        <f t="shared" si="5"/>
        <v>0.81673918607627338</v>
      </c>
      <c r="F111" s="599">
        <v>64440000</v>
      </c>
    </row>
    <row r="112" spans="1:6" x14ac:dyDescent="0.2">
      <c r="A112" s="597" t="s">
        <v>1041</v>
      </c>
      <c r="B112" s="598" t="s">
        <v>535</v>
      </c>
      <c r="C112" s="599">
        <v>325023000</v>
      </c>
      <c r="D112" s="599">
        <v>284710000</v>
      </c>
      <c r="E112" s="600">
        <f t="shared" si="5"/>
        <v>0.875968777594201</v>
      </c>
      <c r="F112" s="599">
        <v>40313000</v>
      </c>
    </row>
    <row r="113" spans="1:6" x14ac:dyDescent="0.2">
      <c r="A113" s="597" t="s">
        <v>1042</v>
      </c>
      <c r="B113" s="598" t="s">
        <v>536</v>
      </c>
      <c r="C113" s="599">
        <v>1258808000</v>
      </c>
      <c r="D113" s="599">
        <v>1119641000</v>
      </c>
      <c r="E113" s="600">
        <f t="shared" si="5"/>
        <v>0.88944541184994053</v>
      </c>
      <c r="F113" s="599">
        <v>139167000</v>
      </c>
    </row>
    <row r="114" spans="1:6" x14ac:dyDescent="0.2">
      <c r="A114" s="597" t="s">
        <v>1043</v>
      </c>
      <c r="B114" s="598" t="s">
        <v>537</v>
      </c>
      <c r="C114" s="599">
        <v>66600000</v>
      </c>
      <c r="D114" s="599">
        <v>66425000</v>
      </c>
      <c r="E114" s="600">
        <f t="shared" si="5"/>
        <v>0.99737237237237242</v>
      </c>
      <c r="F114" s="599">
        <v>175000</v>
      </c>
    </row>
    <row r="115" spans="1:6" x14ac:dyDescent="0.2">
      <c r="A115" s="597" t="s">
        <v>1044</v>
      </c>
      <c r="B115" s="598" t="s">
        <v>72</v>
      </c>
      <c r="C115" s="599">
        <v>180000000</v>
      </c>
      <c r="D115" s="599">
        <v>155000000</v>
      </c>
      <c r="E115" s="600">
        <f t="shared" si="5"/>
        <v>0.86111111111111116</v>
      </c>
      <c r="F115" s="599">
        <v>25000000</v>
      </c>
    </row>
    <row r="116" spans="1:6" x14ac:dyDescent="0.2">
      <c r="A116" s="597" t="s">
        <v>1045</v>
      </c>
      <c r="B116" s="598" t="s">
        <v>73</v>
      </c>
      <c r="C116" s="599">
        <v>936602000</v>
      </c>
      <c r="D116" s="599">
        <v>794797000</v>
      </c>
      <c r="E116" s="600">
        <f t="shared" si="5"/>
        <v>0.84859630878430747</v>
      </c>
      <c r="F116" s="599">
        <v>141805000</v>
      </c>
    </row>
    <row r="117" spans="1:6" x14ac:dyDescent="0.2">
      <c r="A117" s="597"/>
      <c r="B117" s="598"/>
      <c r="C117" s="599"/>
      <c r="D117" s="599"/>
      <c r="E117" s="600"/>
      <c r="F117" s="599"/>
    </row>
    <row r="118" spans="1:6" s="596" customFormat="1" x14ac:dyDescent="0.2">
      <c r="A118" s="590" t="s">
        <v>1046</v>
      </c>
      <c r="B118" s="591" t="s">
        <v>174</v>
      </c>
      <c r="C118" s="592">
        <v>14731860000</v>
      </c>
      <c r="D118" s="592">
        <v>13911856950</v>
      </c>
      <c r="E118" s="593">
        <f t="shared" si="5"/>
        <v>0.94433811820096036</v>
      </c>
      <c r="F118" s="592">
        <v>820003050</v>
      </c>
    </row>
    <row r="119" spans="1:6" x14ac:dyDescent="0.2">
      <c r="A119" s="597" t="s">
        <v>1047</v>
      </c>
      <c r="B119" s="598" t="s">
        <v>592</v>
      </c>
      <c r="C119" s="599">
        <v>3663920000</v>
      </c>
      <c r="D119" s="599">
        <v>3357332281</v>
      </c>
      <c r="E119" s="600">
        <f t="shared" si="5"/>
        <v>0.91632248548003237</v>
      </c>
      <c r="F119" s="599">
        <v>306587719</v>
      </c>
    </row>
    <row r="120" spans="1:6" x14ac:dyDescent="0.2">
      <c r="A120" s="597" t="s">
        <v>1048</v>
      </c>
      <c r="B120" s="598" t="s">
        <v>593</v>
      </c>
      <c r="C120" s="599">
        <v>2416900000</v>
      </c>
      <c r="D120" s="599">
        <v>2410462672</v>
      </c>
      <c r="E120" s="600">
        <f t="shared" si="5"/>
        <v>0.99733653523108112</v>
      </c>
      <c r="F120" s="599">
        <v>6437328</v>
      </c>
    </row>
    <row r="121" spans="1:6" x14ac:dyDescent="0.2">
      <c r="A121" s="597" t="s">
        <v>1049</v>
      </c>
      <c r="B121" s="598" t="s">
        <v>594</v>
      </c>
      <c r="C121" s="599">
        <v>8051040000</v>
      </c>
      <c r="D121" s="599">
        <v>7544428319</v>
      </c>
      <c r="E121" s="600">
        <f t="shared" si="5"/>
        <v>0.93707500136628308</v>
      </c>
      <c r="F121" s="599">
        <v>506611681</v>
      </c>
    </row>
    <row r="122" spans="1:6" x14ac:dyDescent="0.2">
      <c r="A122" s="597" t="s">
        <v>1050</v>
      </c>
      <c r="B122" s="598" t="s">
        <v>597</v>
      </c>
      <c r="C122" s="599">
        <v>600000000</v>
      </c>
      <c r="D122" s="599">
        <v>599633678</v>
      </c>
      <c r="E122" s="600">
        <f t="shared" si="5"/>
        <v>0.99938946333333334</v>
      </c>
      <c r="F122" s="599">
        <v>366322</v>
      </c>
    </row>
    <row r="123" spans="1:6" x14ac:dyDescent="0.2">
      <c r="A123" s="597"/>
      <c r="B123" s="598"/>
      <c r="C123" s="599"/>
      <c r="D123" s="599"/>
      <c r="E123" s="600"/>
      <c r="F123" s="599"/>
    </row>
    <row r="124" spans="1:6" s="596" customFormat="1" x14ac:dyDescent="0.2">
      <c r="A124" s="590" t="s">
        <v>1051</v>
      </c>
      <c r="B124" s="591" t="s">
        <v>171</v>
      </c>
      <c r="C124" s="592">
        <v>19950000</v>
      </c>
      <c r="D124" s="592">
        <v>19950000</v>
      </c>
      <c r="E124" s="593">
        <f t="shared" si="5"/>
        <v>1</v>
      </c>
      <c r="F124" s="601">
        <v>0</v>
      </c>
    </row>
    <row r="125" spans="1:6" x14ac:dyDescent="0.2">
      <c r="A125" s="597" t="s">
        <v>1052</v>
      </c>
      <c r="B125" s="598" t="s">
        <v>585</v>
      </c>
      <c r="C125" s="599">
        <v>19950000</v>
      </c>
      <c r="D125" s="599">
        <v>19950000</v>
      </c>
      <c r="E125" s="600">
        <f t="shared" si="5"/>
        <v>1</v>
      </c>
      <c r="F125" s="603">
        <v>0</v>
      </c>
    </row>
    <row r="126" spans="1:6" x14ac:dyDescent="0.2">
      <c r="A126" s="597"/>
      <c r="B126" s="598"/>
      <c r="C126" s="599"/>
      <c r="D126" s="599"/>
      <c r="E126" s="600"/>
      <c r="F126" s="603"/>
    </row>
    <row r="127" spans="1:6" s="596" customFormat="1" x14ac:dyDescent="0.2">
      <c r="A127" s="590" t="s">
        <v>1053</v>
      </c>
      <c r="B127" s="591" t="s">
        <v>172</v>
      </c>
      <c r="C127" s="592">
        <v>249300000</v>
      </c>
      <c r="D127" s="592">
        <v>248160000</v>
      </c>
      <c r="E127" s="593">
        <f t="shared" si="5"/>
        <v>0.99542719614921782</v>
      </c>
      <c r="F127" s="592">
        <v>1140000</v>
      </c>
    </row>
    <row r="128" spans="1:6" x14ac:dyDescent="0.2">
      <c r="A128" s="597" t="s">
        <v>1054</v>
      </c>
      <c r="B128" s="598" t="s">
        <v>586</v>
      </c>
      <c r="C128" s="599">
        <v>249300000</v>
      </c>
      <c r="D128" s="599">
        <v>248160000</v>
      </c>
      <c r="E128" s="600">
        <f t="shared" si="5"/>
        <v>0.99542719614921782</v>
      </c>
      <c r="F128" s="599">
        <v>1140000</v>
      </c>
    </row>
    <row r="129" spans="1:6" x14ac:dyDescent="0.2">
      <c r="A129" s="597"/>
      <c r="B129" s="598"/>
      <c r="C129" s="599"/>
      <c r="D129" s="599"/>
      <c r="E129" s="600"/>
      <c r="F129" s="599"/>
    </row>
    <row r="130" spans="1:6" s="596" customFormat="1" x14ac:dyDescent="0.2">
      <c r="A130" s="590" t="s">
        <v>1055</v>
      </c>
      <c r="B130" s="591" t="s">
        <v>1056</v>
      </c>
      <c r="C130" s="592">
        <v>152400000</v>
      </c>
      <c r="D130" s="592">
        <v>59770000</v>
      </c>
      <c r="E130" s="593">
        <f t="shared" si="5"/>
        <v>0.39219160104986878</v>
      </c>
      <c r="F130" s="592">
        <v>92630000</v>
      </c>
    </row>
    <row r="131" spans="1:6" x14ac:dyDescent="0.2">
      <c r="A131" s="597" t="s">
        <v>1057</v>
      </c>
      <c r="B131" s="598" t="s">
        <v>588</v>
      </c>
      <c r="C131" s="599">
        <v>150400000</v>
      </c>
      <c r="D131" s="599">
        <v>57800000</v>
      </c>
      <c r="E131" s="600">
        <f t="shared" si="5"/>
        <v>0.38430851063829785</v>
      </c>
      <c r="F131" s="599">
        <v>92600000</v>
      </c>
    </row>
    <row r="132" spans="1:6" x14ac:dyDescent="0.2">
      <c r="A132" s="597" t="s">
        <v>1058</v>
      </c>
      <c r="B132" s="598" t="s">
        <v>590</v>
      </c>
      <c r="C132" s="599">
        <v>2000000</v>
      </c>
      <c r="D132" s="599">
        <v>1970000</v>
      </c>
      <c r="E132" s="600">
        <f t="shared" si="5"/>
        <v>0.98499999999999999</v>
      </c>
      <c r="F132" s="599">
        <v>30000</v>
      </c>
    </row>
    <row r="133" spans="1:6" x14ac:dyDescent="0.2">
      <c r="A133" s="597"/>
      <c r="B133" s="598"/>
      <c r="C133" s="599"/>
      <c r="D133" s="599"/>
      <c r="E133" s="600"/>
      <c r="F133" s="599"/>
    </row>
    <row r="134" spans="1:6" s="596" customFormat="1" x14ac:dyDescent="0.2">
      <c r="A134" s="590" t="s">
        <v>1059</v>
      </c>
      <c r="B134" s="591" t="s">
        <v>180</v>
      </c>
      <c r="C134" s="592">
        <v>30241050000</v>
      </c>
      <c r="D134" s="592">
        <v>27755343078</v>
      </c>
      <c r="E134" s="593">
        <f t="shared" si="5"/>
        <v>0.91780355106717526</v>
      </c>
      <c r="F134" s="592">
        <v>2485706922</v>
      </c>
    </row>
    <row r="135" spans="1:6" x14ac:dyDescent="0.2">
      <c r="A135" s="597" t="s">
        <v>1060</v>
      </c>
      <c r="B135" s="598" t="s">
        <v>1061</v>
      </c>
      <c r="C135" s="599">
        <v>18917025000</v>
      </c>
      <c r="D135" s="599">
        <v>17954249376</v>
      </c>
      <c r="E135" s="600">
        <f t="shared" si="5"/>
        <v>0.94910533638349581</v>
      </c>
      <c r="F135" s="599">
        <v>962775624</v>
      </c>
    </row>
    <row r="136" spans="1:6" x14ac:dyDescent="0.2">
      <c r="A136" s="597" t="s">
        <v>1062</v>
      </c>
      <c r="B136" s="598" t="s">
        <v>1063</v>
      </c>
      <c r="C136" s="599">
        <v>10104541000</v>
      </c>
      <c r="D136" s="599">
        <v>8986270502</v>
      </c>
      <c r="E136" s="600">
        <f t="shared" si="5"/>
        <v>0.8893299064252399</v>
      </c>
      <c r="F136" s="599">
        <v>1118270498</v>
      </c>
    </row>
    <row r="137" spans="1:6" x14ac:dyDescent="0.2">
      <c r="A137" s="597" t="s">
        <v>1064</v>
      </c>
      <c r="B137" s="598" t="s">
        <v>1065</v>
      </c>
      <c r="C137" s="599">
        <v>1219484000</v>
      </c>
      <c r="D137" s="599">
        <v>814823200</v>
      </c>
      <c r="E137" s="600">
        <f t="shared" si="5"/>
        <v>0.66817047210131497</v>
      </c>
      <c r="F137" s="599">
        <v>404660800</v>
      </c>
    </row>
    <row r="138" spans="1:6" x14ac:dyDescent="0.2">
      <c r="A138" s="597"/>
      <c r="B138" s="598"/>
      <c r="C138" s="599"/>
      <c r="D138" s="599"/>
      <c r="E138" s="600"/>
      <c r="F138" s="599"/>
    </row>
    <row r="139" spans="1:6" s="596" customFormat="1" ht="21" x14ac:dyDescent="0.2">
      <c r="A139" s="590" t="s">
        <v>1066</v>
      </c>
      <c r="B139" s="591" t="s">
        <v>709</v>
      </c>
      <c r="C139" s="592">
        <v>88000000</v>
      </c>
      <c r="D139" s="592">
        <v>85500000</v>
      </c>
      <c r="E139" s="593">
        <f t="shared" si="5"/>
        <v>0.97159090909090906</v>
      </c>
      <c r="F139" s="592">
        <v>2500000</v>
      </c>
    </row>
    <row r="140" spans="1:6" x14ac:dyDescent="0.2">
      <c r="A140" s="597" t="s">
        <v>1067</v>
      </c>
      <c r="B140" s="598" t="s">
        <v>1068</v>
      </c>
      <c r="C140" s="599">
        <v>88000000</v>
      </c>
      <c r="D140" s="599">
        <v>85500000</v>
      </c>
      <c r="E140" s="600">
        <f t="shared" si="5"/>
        <v>0.97159090909090906</v>
      </c>
      <c r="F140" s="599">
        <v>2500000</v>
      </c>
    </row>
    <row r="141" spans="1:6" x14ac:dyDescent="0.2">
      <c r="A141" s="597"/>
      <c r="B141" s="598"/>
      <c r="C141" s="599"/>
      <c r="D141" s="599"/>
      <c r="E141" s="600"/>
      <c r="F141" s="599"/>
    </row>
    <row r="142" spans="1:6" s="596" customFormat="1" x14ac:dyDescent="0.2">
      <c r="A142" s="590" t="s">
        <v>1069</v>
      </c>
      <c r="B142" s="591" t="s">
        <v>179</v>
      </c>
      <c r="C142" s="592">
        <v>5733708000</v>
      </c>
      <c r="D142" s="592">
        <v>5274671701</v>
      </c>
      <c r="E142" s="593">
        <f t="shared" si="5"/>
        <v>0.91994076102236111</v>
      </c>
      <c r="F142" s="592">
        <v>459036299</v>
      </c>
    </row>
    <row r="143" spans="1:6" x14ac:dyDescent="0.2">
      <c r="A143" s="597" t="s">
        <v>1070</v>
      </c>
      <c r="B143" s="598" t="s">
        <v>1071</v>
      </c>
      <c r="C143" s="599">
        <v>1889337000</v>
      </c>
      <c r="D143" s="599">
        <v>1627808401</v>
      </c>
      <c r="E143" s="600">
        <f t="shared" si="5"/>
        <v>0.86157652181691247</v>
      </c>
      <c r="F143" s="599">
        <v>261528599</v>
      </c>
    </row>
    <row r="144" spans="1:6" x14ac:dyDescent="0.2">
      <c r="A144" s="597" t="s">
        <v>1072</v>
      </c>
      <c r="B144" s="598" t="s">
        <v>1073</v>
      </c>
      <c r="C144" s="599">
        <v>3464698000</v>
      </c>
      <c r="D144" s="599">
        <v>3295538800</v>
      </c>
      <c r="E144" s="600">
        <f t="shared" si="5"/>
        <v>0.95117635072378603</v>
      </c>
      <c r="F144" s="599">
        <v>169159200</v>
      </c>
    </row>
    <row r="145" spans="1:6" x14ac:dyDescent="0.2">
      <c r="A145" s="597" t="s">
        <v>1074</v>
      </c>
      <c r="B145" s="598" t="s">
        <v>521</v>
      </c>
      <c r="C145" s="599">
        <v>180308000</v>
      </c>
      <c r="D145" s="599">
        <v>155951000</v>
      </c>
      <c r="E145" s="600">
        <f t="shared" si="5"/>
        <v>0.8649144796681234</v>
      </c>
      <c r="F145" s="599">
        <v>24357000</v>
      </c>
    </row>
    <row r="146" spans="1:6" x14ac:dyDescent="0.2">
      <c r="A146" s="597" t="s">
        <v>1075</v>
      </c>
      <c r="B146" s="598" t="s">
        <v>522</v>
      </c>
      <c r="C146" s="599">
        <v>199365000</v>
      </c>
      <c r="D146" s="599">
        <v>195373500</v>
      </c>
      <c r="E146" s="600">
        <f t="shared" si="5"/>
        <v>0.97997893311263262</v>
      </c>
      <c r="F146" s="599">
        <v>3991500</v>
      </c>
    </row>
    <row r="147" spans="1:6" x14ac:dyDescent="0.2">
      <c r="A147" s="597"/>
      <c r="B147" s="598"/>
      <c r="C147" s="599"/>
      <c r="D147" s="599"/>
      <c r="E147" s="600"/>
      <c r="F147" s="599"/>
    </row>
    <row r="148" spans="1:6" s="596" customFormat="1" x14ac:dyDescent="0.2">
      <c r="A148" s="590" t="s">
        <v>1076</v>
      </c>
      <c r="B148" s="591" t="s">
        <v>710</v>
      </c>
      <c r="C148" s="592">
        <v>735500000</v>
      </c>
      <c r="D148" s="592">
        <v>668867500</v>
      </c>
      <c r="E148" s="593">
        <f t="shared" si="5"/>
        <v>0.90940516655336501</v>
      </c>
      <c r="F148" s="592">
        <v>66632500</v>
      </c>
    </row>
    <row r="149" spans="1:6" x14ac:dyDescent="0.2">
      <c r="A149" s="597" t="s">
        <v>1077</v>
      </c>
      <c r="B149" s="598" t="s">
        <v>81</v>
      </c>
      <c r="C149" s="599">
        <v>270000000</v>
      </c>
      <c r="D149" s="599">
        <v>254100000</v>
      </c>
      <c r="E149" s="600">
        <f t="shared" si="5"/>
        <v>0.94111111111111112</v>
      </c>
      <c r="F149" s="599">
        <v>15900000</v>
      </c>
    </row>
    <row r="150" spans="1:6" x14ac:dyDescent="0.2">
      <c r="A150" s="597" t="s">
        <v>1078</v>
      </c>
      <c r="B150" s="598" t="s">
        <v>82</v>
      </c>
      <c r="C150" s="599">
        <v>226500000</v>
      </c>
      <c r="D150" s="599">
        <v>181217500</v>
      </c>
      <c r="E150" s="600">
        <f t="shared" si="5"/>
        <v>0.80007726269315671</v>
      </c>
      <c r="F150" s="599">
        <v>45282500</v>
      </c>
    </row>
    <row r="151" spans="1:6" x14ac:dyDescent="0.2">
      <c r="A151" s="597" t="s">
        <v>1079</v>
      </c>
      <c r="B151" s="598" t="s">
        <v>559</v>
      </c>
      <c r="C151" s="599">
        <v>49500000</v>
      </c>
      <c r="D151" s="599">
        <v>47575000</v>
      </c>
      <c r="E151" s="600">
        <f t="shared" si="5"/>
        <v>0.96111111111111114</v>
      </c>
      <c r="F151" s="599">
        <v>1925000</v>
      </c>
    </row>
    <row r="152" spans="1:6" x14ac:dyDescent="0.2">
      <c r="A152" s="597" t="s">
        <v>1080</v>
      </c>
      <c r="B152" s="598" t="s">
        <v>83</v>
      </c>
      <c r="C152" s="599">
        <v>189500000</v>
      </c>
      <c r="D152" s="599">
        <v>185975000</v>
      </c>
      <c r="E152" s="600">
        <f t="shared" si="5"/>
        <v>0.9813984168865435</v>
      </c>
      <c r="F152" s="599">
        <v>3525000</v>
      </c>
    </row>
    <row r="153" spans="1:6" x14ac:dyDescent="0.2">
      <c r="A153" s="597"/>
      <c r="B153" s="598"/>
      <c r="C153" s="599"/>
      <c r="D153" s="599"/>
      <c r="E153" s="600"/>
      <c r="F153" s="599"/>
    </row>
    <row r="154" spans="1:6" s="596" customFormat="1" x14ac:dyDescent="0.2">
      <c r="A154" s="590" t="s">
        <v>1081</v>
      </c>
      <c r="B154" s="591" t="s">
        <v>52</v>
      </c>
      <c r="C154" s="592">
        <v>67935000</v>
      </c>
      <c r="D154" s="592">
        <v>67170000</v>
      </c>
      <c r="E154" s="593">
        <f t="shared" si="5"/>
        <v>0.98873923603444469</v>
      </c>
      <c r="F154" s="592">
        <v>765000</v>
      </c>
    </row>
    <row r="155" spans="1:6" x14ac:dyDescent="0.2">
      <c r="A155" s="597" t="s">
        <v>1082</v>
      </c>
      <c r="B155" s="598" t="s">
        <v>615</v>
      </c>
      <c r="C155" s="599">
        <v>55935000</v>
      </c>
      <c r="D155" s="599">
        <v>55170000</v>
      </c>
      <c r="E155" s="600">
        <f t="shared" si="5"/>
        <v>0.98632341110217214</v>
      </c>
      <c r="F155" s="599">
        <v>765000</v>
      </c>
    </row>
    <row r="156" spans="1:6" x14ac:dyDescent="0.2">
      <c r="A156" s="597" t="s">
        <v>1083</v>
      </c>
      <c r="B156" s="598" t="s">
        <v>616</v>
      </c>
      <c r="C156" s="599">
        <v>12000000</v>
      </c>
      <c r="D156" s="599">
        <v>12000000</v>
      </c>
      <c r="E156" s="600">
        <f t="shared" si="5"/>
        <v>1</v>
      </c>
      <c r="F156" s="603">
        <v>0</v>
      </c>
    </row>
    <row r="157" spans="1:6" x14ac:dyDescent="0.2">
      <c r="A157" s="597"/>
      <c r="B157" s="598"/>
      <c r="C157" s="599"/>
      <c r="D157" s="599"/>
      <c r="E157" s="600"/>
      <c r="F157" s="603"/>
    </row>
    <row r="158" spans="1:6" s="596" customFormat="1" ht="21" x14ac:dyDescent="0.2">
      <c r="A158" s="590" t="s">
        <v>1084</v>
      </c>
      <c r="B158" s="591" t="s">
        <v>1085</v>
      </c>
      <c r="C158" s="592">
        <v>454000000</v>
      </c>
      <c r="D158" s="592">
        <v>358000000</v>
      </c>
      <c r="E158" s="593">
        <f t="shared" si="5"/>
        <v>0.78854625550660795</v>
      </c>
      <c r="F158" s="592">
        <v>96000000</v>
      </c>
    </row>
    <row r="159" spans="1:6" x14ac:dyDescent="0.2">
      <c r="A159" s="597" t="s">
        <v>1086</v>
      </c>
      <c r="B159" s="598" t="s">
        <v>510</v>
      </c>
      <c r="C159" s="599">
        <v>401500000</v>
      </c>
      <c r="D159" s="599">
        <v>315500000</v>
      </c>
      <c r="E159" s="600">
        <f t="shared" si="5"/>
        <v>0.78580323785803241</v>
      </c>
      <c r="F159" s="599">
        <v>86000000</v>
      </c>
    </row>
    <row r="160" spans="1:6" x14ac:dyDescent="0.2">
      <c r="A160" s="597" t="s">
        <v>1087</v>
      </c>
      <c r="B160" s="598" t="s">
        <v>511</v>
      </c>
      <c r="C160" s="599">
        <v>52500000</v>
      </c>
      <c r="D160" s="599">
        <v>42500000</v>
      </c>
      <c r="E160" s="600">
        <f t="shared" si="5"/>
        <v>0.80952380952380953</v>
      </c>
      <c r="F160" s="599">
        <v>10000000</v>
      </c>
    </row>
    <row r="161" spans="1:6" x14ac:dyDescent="0.2">
      <c r="A161" s="597"/>
      <c r="B161" s="598"/>
      <c r="C161" s="599"/>
      <c r="D161" s="599"/>
      <c r="E161" s="600"/>
      <c r="F161" s="599"/>
    </row>
    <row r="162" spans="1:6" s="596" customFormat="1" x14ac:dyDescent="0.2">
      <c r="A162" s="595">
        <v>0.20975694444444445</v>
      </c>
      <c r="B162" s="591" t="s">
        <v>1088</v>
      </c>
      <c r="C162" s="592">
        <v>3215650000</v>
      </c>
      <c r="D162" s="592">
        <v>2976163600</v>
      </c>
      <c r="E162" s="593">
        <f t="shared" si="5"/>
        <v>0.92552473061433926</v>
      </c>
      <c r="F162" s="592">
        <v>239486400</v>
      </c>
    </row>
    <row r="163" spans="1:6" s="596" customFormat="1" ht="21" x14ac:dyDescent="0.2">
      <c r="A163" s="590" t="s">
        <v>1089</v>
      </c>
      <c r="B163" s="591" t="s">
        <v>1090</v>
      </c>
      <c r="C163" s="592">
        <v>856564000</v>
      </c>
      <c r="D163" s="592">
        <v>827252500</v>
      </c>
      <c r="E163" s="593">
        <f t="shared" ref="E163:E202" si="6">+D163/C163</f>
        <v>0.96578014018800695</v>
      </c>
      <c r="F163" s="592">
        <v>29311500</v>
      </c>
    </row>
    <row r="164" spans="1:6" ht="21" x14ac:dyDescent="0.2">
      <c r="A164" s="597" t="s">
        <v>1091</v>
      </c>
      <c r="B164" s="598" t="s">
        <v>1092</v>
      </c>
      <c r="C164" s="599">
        <v>856564000</v>
      </c>
      <c r="D164" s="599">
        <v>827252500</v>
      </c>
      <c r="E164" s="600">
        <f t="shared" si="6"/>
        <v>0.96578014018800695</v>
      </c>
      <c r="F164" s="599">
        <v>29311500</v>
      </c>
    </row>
    <row r="165" spans="1:6" x14ac:dyDescent="0.2">
      <c r="A165" s="597"/>
      <c r="B165" s="598"/>
      <c r="C165" s="599"/>
      <c r="D165" s="599"/>
      <c r="E165" s="600"/>
      <c r="F165" s="599"/>
    </row>
    <row r="166" spans="1:6" s="596" customFormat="1" ht="21" x14ac:dyDescent="0.2">
      <c r="A166" s="590" t="s">
        <v>1093</v>
      </c>
      <c r="B166" s="591" t="s">
        <v>1094</v>
      </c>
      <c r="C166" s="592">
        <v>30000000</v>
      </c>
      <c r="D166" s="592">
        <v>28750000</v>
      </c>
      <c r="E166" s="593">
        <f t="shared" si="6"/>
        <v>0.95833333333333337</v>
      </c>
      <c r="F166" s="592">
        <v>1250000</v>
      </c>
    </row>
    <row r="167" spans="1:6" ht="21" x14ac:dyDescent="0.2">
      <c r="A167" s="597" t="s">
        <v>1095</v>
      </c>
      <c r="B167" s="598" t="s">
        <v>1096</v>
      </c>
      <c r="C167" s="599">
        <v>30000000</v>
      </c>
      <c r="D167" s="599">
        <v>28750000</v>
      </c>
      <c r="E167" s="600">
        <f t="shared" si="6"/>
        <v>0.95833333333333337</v>
      </c>
      <c r="F167" s="599">
        <v>1250000</v>
      </c>
    </row>
    <row r="168" spans="1:6" x14ac:dyDescent="0.2">
      <c r="A168" s="597"/>
      <c r="B168" s="598"/>
      <c r="C168" s="599"/>
      <c r="D168" s="599"/>
      <c r="E168" s="600"/>
      <c r="F168" s="599"/>
    </row>
    <row r="169" spans="1:6" s="596" customFormat="1" ht="21" x14ac:dyDescent="0.2">
      <c r="A169" s="590" t="s">
        <v>1097</v>
      </c>
      <c r="B169" s="591" t="s">
        <v>1098</v>
      </c>
      <c r="C169" s="592">
        <v>177350000</v>
      </c>
      <c r="D169" s="592">
        <v>151750000</v>
      </c>
      <c r="E169" s="593">
        <f t="shared" si="6"/>
        <v>0.85565266422328734</v>
      </c>
      <c r="F169" s="592">
        <v>25600000</v>
      </c>
    </row>
    <row r="170" spans="1:6" ht="21" x14ac:dyDescent="0.2">
      <c r="A170" s="597" t="s">
        <v>1099</v>
      </c>
      <c r="B170" s="598" t="s">
        <v>1100</v>
      </c>
      <c r="C170" s="599">
        <v>177350000</v>
      </c>
      <c r="D170" s="599">
        <v>151750000</v>
      </c>
      <c r="E170" s="600">
        <f t="shared" si="6"/>
        <v>0.85565266422328734</v>
      </c>
      <c r="F170" s="599">
        <v>25600000</v>
      </c>
    </row>
    <row r="171" spans="1:6" x14ac:dyDescent="0.2">
      <c r="A171" s="597"/>
      <c r="B171" s="598"/>
      <c r="C171" s="599"/>
      <c r="D171" s="599"/>
      <c r="E171" s="600"/>
      <c r="F171" s="599"/>
    </row>
    <row r="172" spans="1:6" s="596" customFormat="1" ht="21" x14ac:dyDescent="0.2">
      <c r="A172" s="590" t="s">
        <v>1101</v>
      </c>
      <c r="B172" s="591" t="s">
        <v>1102</v>
      </c>
      <c r="C172" s="592">
        <v>1331386000</v>
      </c>
      <c r="D172" s="592">
        <v>1267289500</v>
      </c>
      <c r="E172" s="593">
        <f t="shared" si="6"/>
        <v>0.95185731260505968</v>
      </c>
      <c r="F172" s="592">
        <v>64096500</v>
      </c>
    </row>
    <row r="173" spans="1:6" x14ac:dyDescent="0.2">
      <c r="A173" s="597" t="s">
        <v>1103</v>
      </c>
      <c r="B173" s="598" t="s">
        <v>1104</v>
      </c>
      <c r="C173" s="599">
        <v>124875000</v>
      </c>
      <c r="D173" s="599">
        <v>119190000</v>
      </c>
      <c r="E173" s="600">
        <f t="shared" si="6"/>
        <v>0.95447447447447442</v>
      </c>
      <c r="F173" s="599">
        <v>5685000</v>
      </c>
    </row>
    <row r="174" spans="1:6" ht="21" x14ac:dyDescent="0.2">
      <c r="A174" s="597" t="s">
        <v>1105</v>
      </c>
      <c r="B174" s="598" t="s">
        <v>1106</v>
      </c>
      <c r="C174" s="599">
        <v>992791000</v>
      </c>
      <c r="D174" s="599">
        <v>951626500</v>
      </c>
      <c r="E174" s="600">
        <f t="shared" si="6"/>
        <v>0.9585365902793237</v>
      </c>
      <c r="F174" s="599">
        <v>41164500</v>
      </c>
    </row>
    <row r="175" spans="1:6" ht="21" x14ac:dyDescent="0.2">
      <c r="A175" s="597" t="s">
        <v>1107</v>
      </c>
      <c r="B175" s="598" t="s">
        <v>1108</v>
      </c>
      <c r="C175" s="599">
        <v>213720000</v>
      </c>
      <c r="D175" s="599">
        <v>196473000</v>
      </c>
      <c r="E175" s="600">
        <f t="shared" si="6"/>
        <v>0.91930095451993266</v>
      </c>
      <c r="F175" s="599">
        <v>17247000</v>
      </c>
    </row>
    <row r="176" spans="1:6" x14ac:dyDescent="0.2">
      <c r="A176" s="597"/>
      <c r="B176" s="598"/>
      <c r="C176" s="599"/>
      <c r="D176" s="599"/>
      <c r="E176" s="600"/>
      <c r="F176" s="599"/>
    </row>
    <row r="177" spans="1:6" s="596" customFormat="1" ht="21" x14ac:dyDescent="0.2">
      <c r="A177" s="590" t="s">
        <v>1109</v>
      </c>
      <c r="B177" s="591" t="s">
        <v>1110</v>
      </c>
      <c r="C177" s="592">
        <v>485150000</v>
      </c>
      <c r="D177" s="592">
        <v>383424000</v>
      </c>
      <c r="E177" s="593">
        <f t="shared" si="6"/>
        <v>0.79032051942698134</v>
      </c>
      <c r="F177" s="592">
        <v>101726000</v>
      </c>
    </row>
    <row r="178" spans="1:6" ht="21" x14ac:dyDescent="0.2">
      <c r="A178" s="597" t="s">
        <v>1111</v>
      </c>
      <c r="B178" s="598" t="s">
        <v>1112</v>
      </c>
      <c r="C178" s="599">
        <v>375050000</v>
      </c>
      <c r="D178" s="599">
        <v>301800000</v>
      </c>
      <c r="E178" s="600">
        <f t="shared" si="6"/>
        <v>0.80469270763898149</v>
      </c>
      <c r="F178" s="599">
        <v>73250000</v>
      </c>
    </row>
    <row r="179" spans="1:6" ht="21" x14ac:dyDescent="0.2">
      <c r="A179" s="597" t="s">
        <v>1113</v>
      </c>
      <c r="B179" s="598" t="s">
        <v>1114</v>
      </c>
      <c r="C179" s="599">
        <v>110100000</v>
      </c>
      <c r="D179" s="599">
        <v>81624000</v>
      </c>
      <c r="E179" s="600">
        <f t="shared" si="6"/>
        <v>0.74136239782016344</v>
      </c>
      <c r="F179" s="599">
        <v>28476000</v>
      </c>
    </row>
    <row r="180" spans="1:6" x14ac:dyDescent="0.2">
      <c r="A180" s="597"/>
      <c r="B180" s="598"/>
      <c r="C180" s="599"/>
      <c r="D180" s="599"/>
      <c r="E180" s="600"/>
      <c r="F180" s="599"/>
    </row>
    <row r="181" spans="1:6" x14ac:dyDescent="0.2">
      <c r="A181" s="597"/>
      <c r="B181" s="598"/>
      <c r="C181" s="599"/>
      <c r="D181" s="599"/>
      <c r="E181" s="600"/>
      <c r="F181" s="599"/>
    </row>
    <row r="182" spans="1:6" s="596" customFormat="1" ht="21" x14ac:dyDescent="0.2">
      <c r="A182" s="590" t="s">
        <v>1115</v>
      </c>
      <c r="B182" s="591" t="s">
        <v>1116</v>
      </c>
      <c r="C182" s="592">
        <v>262350000</v>
      </c>
      <c r="D182" s="592">
        <v>254850000</v>
      </c>
      <c r="E182" s="593">
        <f t="shared" si="6"/>
        <v>0.97141223556317891</v>
      </c>
      <c r="F182" s="592">
        <v>7500000</v>
      </c>
    </row>
    <row r="183" spans="1:6" ht="21" x14ac:dyDescent="0.2">
      <c r="A183" s="597" t="s">
        <v>1117</v>
      </c>
      <c r="B183" s="598" t="s">
        <v>1118</v>
      </c>
      <c r="C183" s="599">
        <v>262350000</v>
      </c>
      <c r="D183" s="599">
        <v>254850000</v>
      </c>
      <c r="E183" s="600">
        <f t="shared" si="6"/>
        <v>0.97141223556317891</v>
      </c>
      <c r="F183" s="599">
        <v>7500000</v>
      </c>
    </row>
    <row r="184" spans="1:6" x14ac:dyDescent="0.2">
      <c r="A184" s="597"/>
      <c r="B184" s="598"/>
      <c r="C184" s="599"/>
      <c r="D184" s="599"/>
      <c r="E184" s="600"/>
      <c r="F184" s="599"/>
    </row>
    <row r="185" spans="1:6" s="596" customFormat="1" ht="21" x14ac:dyDescent="0.2">
      <c r="A185" s="590" t="s">
        <v>1119</v>
      </c>
      <c r="B185" s="591" t="s">
        <v>1120</v>
      </c>
      <c r="C185" s="592">
        <v>26800000</v>
      </c>
      <c r="D185" s="592">
        <v>26000000</v>
      </c>
      <c r="E185" s="593">
        <f t="shared" si="6"/>
        <v>0.97014925373134331</v>
      </c>
      <c r="F185" s="592">
        <v>800000</v>
      </c>
    </row>
    <row r="186" spans="1:6" ht="21" x14ac:dyDescent="0.2">
      <c r="A186" s="597" t="s">
        <v>1121</v>
      </c>
      <c r="B186" s="598" t="s">
        <v>1122</v>
      </c>
      <c r="C186" s="599">
        <v>26800000</v>
      </c>
      <c r="D186" s="599">
        <v>26000000</v>
      </c>
      <c r="E186" s="600">
        <f t="shared" si="6"/>
        <v>0.97014925373134331</v>
      </c>
      <c r="F186" s="599">
        <v>800000</v>
      </c>
    </row>
    <row r="187" spans="1:6" x14ac:dyDescent="0.2">
      <c r="A187" s="597"/>
      <c r="B187" s="598"/>
      <c r="C187" s="599"/>
      <c r="D187" s="599"/>
      <c r="E187" s="600"/>
      <c r="F187" s="599"/>
    </row>
    <row r="188" spans="1:6" s="596" customFormat="1" ht="21" x14ac:dyDescent="0.2">
      <c r="A188" s="590" t="s">
        <v>1123</v>
      </c>
      <c r="B188" s="591" t="s">
        <v>1124</v>
      </c>
      <c r="C188" s="601">
        <v>0</v>
      </c>
      <c r="D188" s="601">
        <v>0</v>
      </c>
      <c r="E188" s="593">
        <v>0</v>
      </c>
      <c r="F188" s="601">
        <v>0</v>
      </c>
    </row>
    <row r="189" spans="1:6" ht="21" x14ac:dyDescent="0.2">
      <c r="A189" s="597" t="s">
        <v>1125</v>
      </c>
      <c r="B189" s="598" t="s">
        <v>1126</v>
      </c>
      <c r="C189" s="603">
        <v>0</v>
      </c>
      <c r="D189" s="603">
        <v>0</v>
      </c>
      <c r="E189" s="600">
        <v>0</v>
      </c>
      <c r="F189" s="603">
        <v>0</v>
      </c>
    </row>
    <row r="190" spans="1:6" x14ac:dyDescent="0.2">
      <c r="A190" s="597"/>
      <c r="B190" s="598"/>
      <c r="C190" s="603"/>
      <c r="D190" s="603"/>
      <c r="E190" s="600"/>
      <c r="F190" s="603"/>
    </row>
    <row r="191" spans="1:6" s="596" customFormat="1" ht="21" x14ac:dyDescent="0.2">
      <c r="A191" s="590" t="s">
        <v>1127</v>
      </c>
      <c r="B191" s="591" t="s">
        <v>1128</v>
      </c>
      <c r="C191" s="592">
        <v>35250000</v>
      </c>
      <c r="D191" s="592">
        <v>26347600</v>
      </c>
      <c r="E191" s="593">
        <f t="shared" si="6"/>
        <v>0.74744964539007097</v>
      </c>
      <c r="F191" s="592">
        <v>8902400</v>
      </c>
    </row>
    <row r="192" spans="1:6" ht="21" x14ac:dyDescent="0.2">
      <c r="A192" s="597" t="s">
        <v>1129</v>
      </c>
      <c r="B192" s="598" t="s">
        <v>1130</v>
      </c>
      <c r="C192" s="599">
        <v>24350000</v>
      </c>
      <c r="D192" s="599">
        <v>19460000</v>
      </c>
      <c r="E192" s="600">
        <f t="shared" si="6"/>
        <v>0.79917864476386036</v>
      </c>
      <c r="F192" s="599">
        <v>4890000</v>
      </c>
    </row>
    <row r="193" spans="1:6" ht="21" x14ac:dyDescent="0.2">
      <c r="A193" s="597" t="s">
        <v>1131</v>
      </c>
      <c r="B193" s="598" t="s">
        <v>1132</v>
      </c>
      <c r="C193" s="599">
        <v>5400000</v>
      </c>
      <c r="D193" s="599">
        <v>3580800</v>
      </c>
      <c r="E193" s="600">
        <f t="shared" si="6"/>
        <v>0.6631111111111111</v>
      </c>
      <c r="F193" s="599">
        <v>1819200</v>
      </c>
    </row>
    <row r="194" spans="1:6" ht="21" x14ac:dyDescent="0.2">
      <c r="A194" s="597" t="s">
        <v>1133</v>
      </c>
      <c r="B194" s="598" t="s">
        <v>1134</v>
      </c>
      <c r="C194" s="599">
        <v>2500000</v>
      </c>
      <c r="D194" s="599">
        <v>1816100</v>
      </c>
      <c r="E194" s="600">
        <f t="shared" si="6"/>
        <v>0.72643999999999997</v>
      </c>
      <c r="F194" s="599">
        <v>683900</v>
      </c>
    </row>
    <row r="195" spans="1:6" ht="21" x14ac:dyDescent="0.2">
      <c r="A195" s="597" t="s">
        <v>1135</v>
      </c>
      <c r="B195" s="598" t="s">
        <v>1136</v>
      </c>
      <c r="C195" s="599">
        <v>3000000</v>
      </c>
      <c r="D195" s="599">
        <v>1490700</v>
      </c>
      <c r="E195" s="600">
        <f t="shared" si="6"/>
        <v>0.49690000000000001</v>
      </c>
      <c r="F195" s="599">
        <v>1509300</v>
      </c>
    </row>
    <row r="196" spans="1:6" x14ac:dyDescent="0.2">
      <c r="A196" s="597"/>
      <c r="B196" s="598"/>
      <c r="C196" s="599"/>
      <c r="D196" s="599"/>
      <c r="E196" s="600"/>
      <c r="F196" s="599"/>
    </row>
    <row r="197" spans="1:6" s="596" customFormat="1" ht="21" x14ac:dyDescent="0.2">
      <c r="A197" s="590" t="s">
        <v>1137</v>
      </c>
      <c r="B197" s="591" t="s">
        <v>1138</v>
      </c>
      <c r="C197" s="592">
        <v>10800000</v>
      </c>
      <c r="D197" s="592">
        <v>10500000</v>
      </c>
      <c r="E197" s="593">
        <f t="shared" si="6"/>
        <v>0.97222222222222221</v>
      </c>
      <c r="F197" s="592">
        <v>300000</v>
      </c>
    </row>
    <row r="198" spans="1:6" ht="21" x14ac:dyDescent="0.2">
      <c r="A198" s="597" t="s">
        <v>1139</v>
      </c>
      <c r="B198" s="598" t="s">
        <v>1140</v>
      </c>
      <c r="C198" s="599">
        <v>10800000</v>
      </c>
      <c r="D198" s="599">
        <v>10500000</v>
      </c>
      <c r="E198" s="600">
        <f t="shared" si="6"/>
        <v>0.97222222222222221</v>
      </c>
      <c r="F198" s="599">
        <v>300000</v>
      </c>
    </row>
    <row r="199" spans="1:6" x14ac:dyDescent="0.2">
      <c r="A199" s="597"/>
      <c r="B199" s="598"/>
      <c r="C199" s="599"/>
      <c r="D199" s="599"/>
      <c r="E199" s="600"/>
      <c r="F199" s="599"/>
    </row>
    <row r="200" spans="1:6" x14ac:dyDescent="0.2">
      <c r="A200" s="597"/>
      <c r="B200" s="601" t="s">
        <v>1141</v>
      </c>
      <c r="C200" s="592">
        <v>193628487000</v>
      </c>
      <c r="D200" s="592">
        <v>184322478397</v>
      </c>
      <c r="E200" s="593">
        <f t="shared" si="6"/>
        <v>0.95193884563586972</v>
      </c>
      <c r="F200" s="592">
        <v>9306008603</v>
      </c>
    </row>
    <row r="201" spans="1:6" x14ac:dyDescent="0.2">
      <c r="A201" s="597"/>
      <c r="B201" s="601"/>
      <c r="C201" s="592"/>
      <c r="D201" s="592"/>
      <c r="E201" s="593"/>
      <c r="F201" s="592"/>
    </row>
    <row r="202" spans="1:6" x14ac:dyDescent="0.2">
      <c r="A202" s="598"/>
      <c r="B202" s="601" t="s">
        <v>1142</v>
      </c>
      <c r="C202" s="592">
        <f>+C16-C200</f>
        <v>-191203487000</v>
      </c>
      <c r="D202" s="592">
        <f>+D16-D200</f>
        <v>-182086298397</v>
      </c>
      <c r="E202" s="593">
        <f t="shared" si="6"/>
        <v>0.9523168288086713</v>
      </c>
      <c r="F202" s="592">
        <f>+F16-F200</f>
        <v>-9117188603</v>
      </c>
    </row>
    <row r="203" spans="1:6" x14ac:dyDescent="0.2">
      <c r="A203" s="598"/>
      <c r="B203" s="601"/>
      <c r="C203" s="592"/>
      <c r="D203" s="592"/>
      <c r="E203" s="593"/>
      <c r="F203" s="592"/>
    </row>
    <row r="204" spans="1:6" x14ac:dyDescent="0.2">
      <c r="A204" s="598"/>
      <c r="B204" s="601" t="s">
        <v>1143</v>
      </c>
      <c r="C204" s="592">
        <f>+C202</f>
        <v>-191203487000</v>
      </c>
      <c r="D204" s="592">
        <f>+D202</f>
        <v>-182086298397</v>
      </c>
      <c r="E204" s="593">
        <f>+E202</f>
        <v>0.9523168288086713</v>
      </c>
      <c r="F204" s="592">
        <f>+F202</f>
        <v>-9117188603</v>
      </c>
    </row>
  </sheetData>
  <sheetProtection algorithmName="SHA-512" hashValue="8qx0uvbpEvbMVgKXzURL49Pac+z06ddH49+rI+p+nSyv5oCZR6JD/A2bm+gK3exJopmRGgfl9zs+Shod4kOkAA==" saltValue="LBxkzeBcqL/2sU2ZqfPQDw==" spinCount="100000" sheet="1" objects="1" scenarios="1"/>
  <mergeCells count="5">
    <mergeCell ref="A1:A4"/>
    <mergeCell ref="B1:F1"/>
    <mergeCell ref="B2:F2"/>
    <mergeCell ref="B3:F3"/>
    <mergeCell ref="B4:F4"/>
  </mergeCells>
  <pageMargins left="0.78740157480314965" right="0.19685039370078741" top="0.78740157480314965" bottom="0.78740157480314965" header="0.31496062992125984" footer="0.31496062992125984"/>
  <pageSetup paperSize="258"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7030A0"/>
  </sheetPr>
  <dimension ref="A1:J42"/>
  <sheetViews>
    <sheetView view="pageBreakPreview" zoomScaleNormal="130" zoomScaleSheetLayoutView="100" workbookViewId="0">
      <selection activeCell="B45" sqref="B45"/>
    </sheetView>
  </sheetViews>
  <sheetFormatPr defaultRowHeight="15" x14ac:dyDescent="0.25"/>
  <cols>
    <col min="1" max="1" width="3.85546875" style="510" bestFit="1" customWidth="1"/>
    <col min="2" max="2" width="62.85546875" style="508" customWidth="1"/>
    <col min="3" max="3" width="18.28515625" style="508" customWidth="1"/>
    <col min="4" max="4" width="19.140625" style="3" customWidth="1"/>
    <col min="5" max="5" width="23.28515625" style="3" customWidth="1"/>
    <col min="6" max="6" width="20.28515625" style="3" customWidth="1"/>
    <col min="7" max="7" width="17.85546875" style="508" customWidth="1"/>
    <col min="8" max="8" width="22.42578125" style="508" customWidth="1"/>
    <col min="9" max="9" width="21.28515625" style="508" customWidth="1"/>
    <col min="10" max="10" width="26.7109375" style="508" customWidth="1"/>
    <col min="11" max="16384" width="9.140625" style="508"/>
  </cols>
  <sheetData>
    <row r="1" spans="1:10" s="496" customFormat="1" ht="21" x14ac:dyDescent="0.35">
      <c r="A1" s="848" t="s">
        <v>31</v>
      </c>
      <c r="B1" s="848"/>
      <c r="C1" s="848"/>
      <c r="D1" s="848"/>
      <c r="E1" s="848"/>
      <c r="F1" s="848"/>
      <c r="G1" s="848"/>
      <c r="H1" s="848"/>
      <c r="I1" s="848"/>
      <c r="J1" s="848"/>
    </row>
    <row r="3" spans="1:10" s="497" customFormat="1" ht="45" x14ac:dyDescent="0.25">
      <c r="A3" s="14" t="s">
        <v>22</v>
      </c>
      <c r="B3" s="14" t="s">
        <v>23</v>
      </c>
      <c r="C3" s="14" t="s">
        <v>25</v>
      </c>
      <c r="D3" s="85" t="s">
        <v>865</v>
      </c>
      <c r="E3" s="84" t="s">
        <v>624</v>
      </c>
      <c r="F3" s="85" t="s">
        <v>866</v>
      </c>
      <c r="G3" s="38" t="s">
        <v>867</v>
      </c>
      <c r="H3" s="38" t="s">
        <v>868</v>
      </c>
      <c r="I3" s="38" t="s">
        <v>869</v>
      </c>
      <c r="J3" s="15" t="s">
        <v>870</v>
      </c>
    </row>
    <row r="4" spans="1:10" s="497" customFormat="1" x14ac:dyDescent="0.25">
      <c r="A4" s="14">
        <v>1</v>
      </c>
      <c r="B4" s="14">
        <v>2</v>
      </c>
      <c r="C4" s="14">
        <v>3</v>
      </c>
      <c r="D4" s="84">
        <v>4</v>
      </c>
      <c r="E4" s="84">
        <v>5</v>
      </c>
      <c r="F4" s="84" t="s">
        <v>138</v>
      </c>
      <c r="G4" s="498">
        <v>7</v>
      </c>
      <c r="H4" s="498" t="s">
        <v>660</v>
      </c>
      <c r="I4" s="498" t="s">
        <v>632</v>
      </c>
      <c r="J4" s="14" t="s">
        <v>633</v>
      </c>
    </row>
    <row r="5" spans="1:10" s="500" customFormat="1" x14ac:dyDescent="0.25">
      <c r="A5" s="26">
        <v>1</v>
      </c>
      <c r="B5" s="499" t="s">
        <v>45</v>
      </c>
      <c r="C5" s="499"/>
      <c r="D5" s="26"/>
      <c r="E5" s="37"/>
      <c r="F5" s="26"/>
      <c r="G5" s="26"/>
      <c r="H5" s="26"/>
      <c r="I5" s="26"/>
      <c r="J5" s="26"/>
    </row>
    <row r="6" spans="1:10" s="502" customFormat="1" x14ac:dyDescent="0.25">
      <c r="A6" s="82"/>
      <c r="B6" s="501" t="s">
        <v>46</v>
      </c>
      <c r="C6" s="501">
        <v>40695277339</v>
      </c>
      <c r="D6" s="82"/>
      <c r="E6" s="83"/>
      <c r="F6" s="82">
        <f>D6-E6</f>
        <v>0</v>
      </c>
      <c r="G6" s="501">
        <f>+C6</f>
        <v>40695277339</v>
      </c>
      <c r="H6" s="82">
        <f>C6-E6</f>
        <v>40695277339</v>
      </c>
      <c r="I6" s="82">
        <f>G6-H6</f>
        <v>0</v>
      </c>
      <c r="J6" s="82">
        <f>F6+I6</f>
        <v>0</v>
      </c>
    </row>
    <row r="7" spans="1:10" s="502" customFormat="1" x14ac:dyDescent="0.25">
      <c r="A7" s="82"/>
      <c r="B7" s="501" t="s">
        <v>47</v>
      </c>
      <c r="C7" s="501">
        <v>51138676835</v>
      </c>
      <c r="D7" s="82"/>
      <c r="E7" s="83"/>
      <c r="F7" s="82">
        <f>D7-E7</f>
        <v>0</v>
      </c>
      <c r="G7" s="501">
        <f>+C7</f>
        <v>51138676835</v>
      </c>
      <c r="H7" s="82">
        <f>C7-E7</f>
        <v>51138676835</v>
      </c>
      <c r="I7" s="82">
        <f>G7-H7</f>
        <v>0</v>
      </c>
      <c r="J7" s="82">
        <f>F7+I7</f>
        <v>0</v>
      </c>
    </row>
    <row r="8" spans="1:10" s="502" customFormat="1" x14ac:dyDescent="0.25">
      <c r="A8" s="82"/>
      <c r="B8" s="501" t="s">
        <v>48</v>
      </c>
      <c r="C8" s="501"/>
      <c r="D8" s="82"/>
      <c r="E8" s="83"/>
      <c r="F8" s="82">
        <f>D8-E8</f>
        <v>0</v>
      </c>
      <c r="G8" s="82"/>
      <c r="H8" s="82">
        <f>C8-E8</f>
        <v>0</v>
      </c>
      <c r="I8" s="82">
        <f>G8-H8</f>
        <v>0</v>
      </c>
      <c r="J8" s="82">
        <f>F8+I8</f>
        <v>0</v>
      </c>
    </row>
    <row r="9" spans="1:10" s="502" customFormat="1" ht="16.5" x14ac:dyDescent="0.25">
      <c r="A9" s="82"/>
      <c r="B9" s="501" t="s">
        <v>49</v>
      </c>
      <c r="C9" s="501"/>
      <c r="D9" s="503"/>
      <c r="E9" s="83"/>
      <c r="F9" s="82">
        <f>D9-E9</f>
        <v>0</v>
      </c>
      <c r="G9" s="82"/>
      <c r="H9" s="82">
        <f>C9-E9</f>
        <v>0</v>
      </c>
      <c r="I9" s="82">
        <f>G9-H9</f>
        <v>0</v>
      </c>
      <c r="J9" s="82">
        <f>F9+I9</f>
        <v>0</v>
      </c>
    </row>
    <row r="10" spans="1:10" s="500" customFormat="1" x14ac:dyDescent="0.25">
      <c r="A10" s="26"/>
      <c r="B10" s="18" t="s">
        <v>29</v>
      </c>
      <c r="C10" s="26">
        <f t="shared" ref="C10:J10" si="0">SUM(C6:C9)</f>
        <v>91833954174</v>
      </c>
      <c r="D10" s="26">
        <f t="shared" si="0"/>
        <v>0</v>
      </c>
      <c r="E10" s="26">
        <f t="shared" si="0"/>
        <v>0</v>
      </c>
      <c r="F10" s="26">
        <f t="shared" si="0"/>
        <v>0</v>
      </c>
      <c r="G10" s="26">
        <f t="shared" si="0"/>
        <v>91833954174</v>
      </c>
      <c r="H10" s="26">
        <f t="shared" si="0"/>
        <v>91833954174</v>
      </c>
      <c r="I10" s="26">
        <f t="shared" si="0"/>
        <v>0</v>
      </c>
      <c r="J10" s="26">
        <f t="shared" si="0"/>
        <v>0</v>
      </c>
    </row>
    <row r="11" spans="1:10" s="500" customFormat="1" x14ac:dyDescent="0.25">
      <c r="A11" s="26"/>
      <c r="B11" s="26"/>
      <c r="C11" s="26"/>
      <c r="D11" s="26"/>
      <c r="E11" s="37"/>
      <c r="F11" s="26"/>
      <c r="G11" s="26"/>
      <c r="H11" s="26"/>
      <c r="I11" s="26"/>
      <c r="J11" s="26"/>
    </row>
    <row r="12" spans="1:10" s="504" customFormat="1" x14ac:dyDescent="0.25">
      <c r="A12" s="18">
        <v>2</v>
      </c>
      <c r="B12" s="8" t="s">
        <v>32</v>
      </c>
      <c r="C12" s="8"/>
      <c r="D12" s="8"/>
      <c r="E12" s="8"/>
      <c r="F12" s="8"/>
      <c r="G12" s="8"/>
      <c r="H12" s="8"/>
      <c r="I12" s="8"/>
      <c r="J12" s="8"/>
    </row>
    <row r="13" spans="1:10" s="505" customFormat="1" x14ac:dyDescent="0.25">
      <c r="A13" s="483"/>
      <c r="B13" s="482" t="s">
        <v>33</v>
      </c>
      <c r="C13" s="482">
        <v>4863400000</v>
      </c>
      <c r="D13" s="482"/>
      <c r="E13" s="482"/>
      <c r="F13" s="82">
        <f t="shared" ref="F13:F18" si="1">D13-E13</f>
        <v>0</v>
      </c>
      <c r="G13" s="501">
        <f t="shared" ref="G13:G15" si="2">+C13</f>
        <v>4863400000</v>
      </c>
      <c r="H13" s="82">
        <f t="shared" ref="H13:H18" si="3">C13-E13</f>
        <v>4863400000</v>
      </c>
      <c r="I13" s="82">
        <f t="shared" ref="I13:I18" si="4">G13-H13</f>
        <v>0</v>
      </c>
      <c r="J13" s="82">
        <f t="shared" ref="J13:J18" si="5">F13+I13</f>
        <v>0</v>
      </c>
    </row>
    <row r="14" spans="1:10" s="505" customFormat="1" x14ac:dyDescent="0.25">
      <c r="A14" s="483"/>
      <c r="B14" s="482" t="s">
        <v>617</v>
      </c>
      <c r="C14" s="482">
        <v>38650000</v>
      </c>
      <c r="D14" s="482"/>
      <c r="E14" s="482"/>
      <c r="F14" s="82">
        <f t="shared" si="1"/>
        <v>0</v>
      </c>
      <c r="G14" s="501">
        <f t="shared" si="2"/>
        <v>38650000</v>
      </c>
      <c r="H14" s="82">
        <f t="shared" si="3"/>
        <v>38650000</v>
      </c>
      <c r="I14" s="82">
        <f t="shared" si="4"/>
        <v>0</v>
      </c>
      <c r="J14" s="82">
        <f t="shared" si="5"/>
        <v>0</v>
      </c>
    </row>
    <row r="15" spans="1:10" s="505" customFormat="1" x14ac:dyDescent="0.25">
      <c r="A15" s="483"/>
      <c r="B15" s="482" t="s">
        <v>34</v>
      </c>
      <c r="C15" s="482">
        <v>566100000</v>
      </c>
      <c r="D15" s="482"/>
      <c r="E15" s="482"/>
      <c r="F15" s="82">
        <f t="shared" si="1"/>
        <v>0</v>
      </c>
      <c r="G15" s="501">
        <f t="shared" si="2"/>
        <v>566100000</v>
      </c>
      <c r="H15" s="82">
        <f t="shared" si="3"/>
        <v>566100000</v>
      </c>
      <c r="I15" s="82">
        <f t="shared" si="4"/>
        <v>0</v>
      </c>
      <c r="J15" s="82">
        <f t="shared" si="5"/>
        <v>0</v>
      </c>
    </row>
    <row r="16" spans="1:10" s="505" customFormat="1" x14ac:dyDescent="0.25">
      <c r="A16" s="483"/>
      <c r="B16" s="482" t="s">
        <v>35</v>
      </c>
      <c r="C16" s="482"/>
      <c r="D16" s="482"/>
      <c r="E16" s="482"/>
      <c r="F16" s="82">
        <f t="shared" si="1"/>
        <v>0</v>
      </c>
      <c r="G16" s="82"/>
      <c r="H16" s="82">
        <f t="shared" si="3"/>
        <v>0</v>
      </c>
      <c r="I16" s="82">
        <f t="shared" si="4"/>
        <v>0</v>
      </c>
      <c r="J16" s="82">
        <f t="shared" si="5"/>
        <v>0</v>
      </c>
    </row>
    <row r="17" spans="1:10" s="505" customFormat="1" x14ac:dyDescent="0.25">
      <c r="A17" s="483"/>
      <c r="B17" s="482" t="s">
        <v>36</v>
      </c>
      <c r="C17" s="482"/>
      <c r="D17" s="482"/>
      <c r="E17" s="482"/>
      <c r="F17" s="82">
        <f t="shared" si="1"/>
        <v>0</v>
      </c>
      <c r="G17" s="82"/>
      <c r="H17" s="82">
        <f t="shared" si="3"/>
        <v>0</v>
      </c>
      <c r="I17" s="82">
        <f t="shared" si="4"/>
        <v>0</v>
      </c>
      <c r="J17" s="82">
        <f t="shared" si="5"/>
        <v>0</v>
      </c>
    </row>
    <row r="18" spans="1:10" s="505" customFormat="1" x14ac:dyDescent="0.25">
      <c r="A18" s="483"/>
      <c r="B18" s="482" t="s">
        <v>618</v>
      </c>
      <c r="C18" s="482"/>
      <c r="D18" s="482"/>
      <c r="E18" s="482"/>
      <c r="F18" s="82">
        <f t="shared" si="1"/>
        <v>0</v>
      </c>
      <c r="G18" s="82"/>
      <c r="H18" s="82">
        <f t="shared" si="3"/>
        <v>0</v>
      </c>
      <c r="I18" s="82">
        <f t="shared" si="4"/>
        <v>0</v>
      </c>
      <c r="J18" s="82">
        <f t="shared" si="5"/>
        <v>0</v>
      </c>
    </row>
    <row r="19" spans="1:10" s="193" customFormat="1" x14ac:dyDescent="0.25">
      <c r="A19" s="18"/>
      <c r="B19" s="18" t="s">
        <v>29</v>
      </c>
      <c r="C19" s="18">
        <f t="shared" ref="C19:J19" si="6">SUM(C13:C18)</f>
        <v>5468150000</v>
      </c>
      <c r="D19" s="18">
        <f t="shared" si="6"/>
        <v>0</v>
      </c>
      <c r="E19" s="18">
        <f t="shared" si="6"/>
        <v>0</v>
      </c>
      <c r="F19" s="18">
        <f t="shared" si="6"/>
        <v>0</v>
      </c>
      <c r="G19" s="18">
        <f t="shared" si="6"/>
        <v>5468150000</v>
      </c>
      <c r="H19" s="18">
        <f t="shared" si="6"/>
        <v>5468150000</v>
      </c>
      <c r="I19" s="18">
        <f t="shared" si="6"/>
        <v>0</v>
      </c>
      <c r="J19" s="18">
        <f t="shared" si="6"/>
        <v>0</v>
      </c>
    </row>
    <row r="20" spans="1:10" s="193" customForma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s="504" customFormat="1" x14ac:dyDescent="0.25">
      <c r="A21" s="18">
        <v>3</v>
      </c>
      <c r="B21" s="8" t="s">
        <v>43</v>
      </c>
      <c r="C21" s="8"/>
      <c r="D21" s="8"/>
      <c r="E21" s="8"/>
      <c r="F21" s="8"/>
      <c r="G21" s="8"/>
      <c r="H21" s="8"/>
      <c r="I21" s="8"/>
      <c r="J21" s="8"/>
    </row>
    <row r="22" spans="1:10" s="505" customFormat="1" x14ac:dyDescent="0.25">
      <c r="A22" s="483"/>
      <c r="B22" s="482" t="s">
        <v>619</v>
      </c>
      <c r="C22" s="482">
        <v>2304000000</v>
      </c>
      <c r="D22" s="482"/>
      <c r="E22" s="482"/>
      <c r="F22" s="82">
        <f t="shared" ref="F22:F33" si="7">D22-E22</f>
        <v>0</v>
      </c>
      <c r="G22" s="82">
        <f>+C22</f>
        <v>2304000000</v>
      </c>
      <c r="H22" s="82">
        <f>C22-E22</f>
        <v>2304000000</v>
      </c>
      <c r="I22" s="82">
        <f t="shared" ref="I22:I33" si="8">G22-H22</f>
        <v>0</v>
      </c>
      <c r="J22" s="82">
        <f t="shared" ref="J22:J33" si="9">F22+I22</f>
        <v>0</v>
      </c>
    </row>
    <row r="23" spans="1:10" s="505" customFormat="1" x14ac:dyDescent="0.25">
      <c r="A23" s="483"/>
      <c r="B23" s="482" t="s">
        <v>620</v>
      </c>
      <c r="C23" s="482"/>
      <c r="D23" s="482"/>
      <c r="E23" s="482"/>
      <c r="F23" s="82">
        <f t="shared" si="7"/>
        <v>0</v>
      </c>
      <c r="G23" s="482"/>
      <c r="H23" s="82">
        <f t="shared" ref="H23:H33" si="10">C23-E23</f>
        <v>0</v>
      </c>
      <c r="I23" s="82">
        <f t="shared" si="8"/>
        <v>0</v>
      </c>
      <c r="J23" s="82">
        <f t="shared" si="9"/>
        <v>0</v>
      </c>
    </row>
    <row r="24" spans="1:10" s="505" customFormat="1" x14ac:dyDescent="0.25">
      <c r="A24" s="483"/>
      <c r="B24" s="482" t="s">
        <v>37</v>
      </c>
      <c r="C24" s="482">
        <v>83800000</v>
      </c>
      <c r="D24" s="482"/>
      <c r="E24" s="482"/>
      <c r="F24" s="82">
        <f t="shared" si="7"/>
        <v>0</v>
      </c>
      <c r="G24" s="82">
        <f>+C24</f>
        <v>83800000</v>
      </c>
      <c r="H24" s="82">
        <f>C24-E24</f>
        <v>83800000</v>
      </c>
      <c r="I24" s="82">
        <f t="shared" si="8"/>
        <v>0</v>
      </c>
      <c r="J24" s="82">
        <f t="shared" si="9"/>
        <v>0</v>
      </c>
    </row>
    <row r="25" spans="1:10" s="505" customFormat="1" x14ac:dyDescent="0.25">
      <c r="A25" s="483"/>
      <c r="B25" s="482" t="s">
        <v>38</v>
      </c>
      <c r="C25" s="482">
        <v>296800000</v>
      </c>
      <c r="D25" s="482"/>
      <c r="E25" s="482"/>
      <c r="F25" s="82">
        <f t="shared" si="7"/>
        <v>0</v>
      </c>
      <c r="G25" s="82">
        <f>+C25</f>
        <v>296800000</v>
      </c>
      <c r="H25" s="82">
        <f t="shared" si="10"/>
        <v>296800000</v>
      </c>
      <c r="I25" s="82">
        <f t="shared" si="8"/>
        <v>0</v>
      </c>
      <c r="J25" s="82">
        <f t="shared" si="9"/>
        <v>0</v>
      </c>
    </row>
    <row r="26" spans="1:10" s="505" customFormat="1" x14ac:dyDescent="0.25">
      <c r="A26" s="483"/>
      <c r="B26" s="482" t="s">
        <v>39</v>
      </c>
      <c r="C26" s="482"/>
      <c r="D26" s="482"/>
      <c r="E26" s="482"/>
      <c r="F26" s="82">
        <f t="shared" si="7"/>
        <v>0</v>
      </c>
      <c r="G26" s="82"/>
      <c r="H26" s="82">
        <f t="shared" si="10"/>
        <v>0</v>
      </c>
      <c r="I26" s="82">
        <f t="shared" si="8"/>
        <v>0</v>
      </c>
      <c r="J26" s="82">
        <f t="shared" si="9"/>
        <v>0</v>
      </c>
    </row>
    <row r="27" spans="1:10" s="505" customFormat="1" x14ac:dyDescent="0.25">
      <c r="A27" s="483"/>
      <c r="B27" s="482" t="s">
        <v>36</v>
      </c>
      <c r="C27" s="482"/>
      <c r="D27" s="482"/>
      <c r="E27" s="482"/>
      <c r="F27" s="82">
        <f t="shared" si="7"/>
        <v>0</v>
      </c>
      <c r="G27" s="82"/>
      <c r="H27" s="82">
        <f t="shared" si="10"/>
        <v>0</v>
      </c>
      <c r="I27" s="82">
        <f t="shared" si="8"/>
        <v>0</v>
      </c>
      <c r="J27" s="82">
        <f t="shared" si="9"/>
        <v>0</v>
      </c>
    </row>
    <row r="28" spans="1:10" s="505" customFormat="1" x14ac:dyDescent="0.25">
      <c r="A28" s="483"/>
      <c r="B28" s="482" t="s">
        <v>621</v>
      </c>
      <c r="C28" s="482"/>
      <c r="D28" s="482"/>
      <c r="E28" s="482"/>
      <c r="F28" s="82">
        <f t="shared" si="7"/>
        <v>0</v>
      </c>
      <c r="G28" s="82"/>
      <c r="H28" s="82">
        <f t="shared" si="10"/>
        <v>0</v>
      </c>
      <c r="I28" s="82">
        <f t="shared" si="8"/>
        <v>0</v>
      </c>
      <c r="J28" s="82">
        <f t="shared" si="9"/>
        <v>0</v>
      </c>
    </row>
    <row r="29" spans="1:10" s="505" customFormat="1" x14ac:dyDescent="0.25">
      <c r="A29" s="483"/>
      <c r="B29" s="482" t="s">
        <v>40</v>
      </c>
      <c r="C29" s="511">
        <v>420700000</v>
      </c>
      <c r="D29" s="482"/>
      <c r="E29" s="482"/>
      <c r="F29" s="82">
        <f t="shared" si="7"/>
        <v>0</v>
      </c>
      <c r="G29" s="82">
        <f>+C29</f>
        <v>420700000</v>
      </c>
      <c r="H29" s="82">
        <f t="shared" si="10"/>
        <v>420700000</v>
      </c>
      <c r="I29" s="82">
        <f t="shared" si="8"/>
        <v>0</v>
      </c>
      <c r="J29" s="82">
        <f t="shared" si="9"/>
        <v>0</v>
      </c>
    </row>
    <row r="30" spans="1:10" s="505" customFormat="1" x14ac:dyDescent="0.25">
      <c r="A30" s="483"/>
      <c r="B30" s="482" t="s">
        <v>41</v>
      </c>
      <c r="C30" s="482"/>
      <c r="D30" s="482"/>
      <c r="E30" s="482"/>
      <c r="F30" s="82">
        <f t="shared" si="7"/>
        <v>0</v>
      </c>
      <c r="G30" s="82"/>
      <c r="H30" s="82">
        <f t="shared" si="10"/>
        <v>0</v>
      </c>
      <c r="I30" s="82">
        <f t="shared" si="8"/>
        <v>0</v>
      </c>
      <c r="J30" s="82">
        <f t="shared" si="9"/>
        <v>0</v>
      </c>
    </row>
    <row r="31" spans="1:10" s="505" customFormat="1" x14ac:dyDescent="0.25">
      <c r="A31" s="483"/>
      <c r="B31" s="482" t="s">
        <v>618</v>
      </c>
      <c r="C31" s="482"/>
      <c r="D31" s="482"/>
      <c r="E31" s="482"/>
      <c r="F31" s="82">
        <f t="shared" si="7"/>
        <v>0</v>
      </c>
      <c r="G31" s="82"/>
      <c r="H31" s="82">
        <f>C31-E31</f>
        <v>0</v>
      </c>
      <c r="I31" s="82">
        <f t="shared" si="8"/>
        <v>0</v>
      </c>
      <c r="J31" s="82">
        <f t="shared" si="9"/>
        <v>0</v>
      </c>
    </row>
    <row r="32" spans="1:10" s="505" customFormat="1" x14ac:dyDescent="0.25">
      <c r="A32" s="483"/>
      <c r="B32" s="482" t="s">
        <v>622</v>
      </c>
      <c r="C32" s="482"/>
      <c r="D32" s="482"/>
      <c r="E32" s="482"/>
      <c r="F32" s="82">
        <f t="shared" si="7"/>
        <v>0</v>
      </c>
      <c r="G32" s="82"/>
      <c r="H32" s="82">
        <f t="shared" si="10"/>
        <v>0</v>
      </c>
      <c r="I32" s="82">
        <f t="shared" si="8"/>
        <v>0</v>
      </c>
      <c r="J32" s="82">
        <f t="shared" si="9"/>
        <v>0</v>
      </c>
    </row>
    <row r="33" spans="1:10" s="505" customFormat="1" x14ac:dyDescent="0.25">
      <c r="A33" s="483"/>
      <c r="B33" s="482" t="s">
        <v>623</v>
      </c>
      <c r="C33" s="482"/>
      <c r="D33" s="482"/>
      <c r="E33" s="482"/>
      <c r="F33" s="82">
        <f t="shared" si="7"/>
        <v>0</v>
      </c>
      <c r="G33" s="82"/>
      <c r="H33" s="82">
        <f t="shared" si="10"/>
        <v>0</v>
      </c>
      <c r="I33" s="82">
        <f t="shared" si="8"/>
        <v>0</v>
      </c>
      <c r="J33" s="82">
        <f t="shared" si="9"/>
        <v>0</v>
      </c>
    </row>
    <row r="34" spans="1:10" s="193" customFormat="1" x14ac:dyDescent="0.25">
      <c r="A34" s="18"/>
      <c r="B34" s="18" t="s">
        <v>29</v>
      </c>
      <c r="C34" s="18">
        <f>SUM(C22:C32)</f>
        <v>3105300000</v>
      </c>
      <c r="D34" s="18">
        <f t="shared" ref="D34:J34" si="11">SUM(D22:D33)</f>
        <v>0</v>
      </c>
      <c r="E34" s="18">
        <f t="shared" si="11"/>
        <v>0</v>
      </c>
      <c r="F34" s="18">
        <f t="shared" si="11"/>
        <v>0</v>
      </c>
      <c r="G34" s="18">
        <f t="shared" si="11"/>
        <v>3105300000</v>
      </c>
      <c r="H34" s="18">
        <f t="shared" si="11"/>
        <v>3105300000</v>
      </c>
      <c r="I34" s="18">
        <f t="shared" si="11"/>
        <v>0</v>
      </c>
      <c r="J34" s="18">
        <f t="shared" si="11"/>
        <v>0</v>
      </c>
    </row>
    <row r="35" spans="1:10" s="193" customForma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s="504" customFormat="1" x14ac:dyDescent="0.25">
      <c r="A36" s="18">
        <v>5</v>
      </c>
      <c r="B36" s="8" t="s">
        <v>44</v>
      </c>
      <c r="C36" s="8"/>
      <c r="D36" s="8"/>
      <c r="E36" s="8"/>
      <c r="F36" s="8"/>
      <c r="G36" s="8"/>
      <c r="H36" s="8"/>
      <c r="I36" s="8"/>
      <c r="J36" s="8"/>
    </row>
    <row r="37" spans="1:10" x14ac:dyDescent="0.25">
      <c r="A37" s="506"/>
      <c r="B37" s="507" t="s">
        <v>42</v>
      </c>
      <c r="C37" s="485"/>
      <c r="D37" s="485">
        <v>0</v>
      </c>
      <c r="E37" s="485"/>
      <c r="F37" s="82">
        <f>D37-E37</f>
        <v>0</v>
      </c>
      <c r="G37" s="485"/>
      <c r="H37" s="82">
        <f>C37-E37</f>
        <v>0</v>
      </c>
      <c r="I37" s="82">
        <f>G37-H37</f>
        <v>0</v>
      </c>
      <c r="J37" s="82">
        <f>F37+I37</f>
        <v>0</v>
      </c>
    </row>
    <row r="38" spans="1:10" s="193" customFormat="1" x14ac:dyDescent="0.25">
      <c r="A38" s="18"/>
      <c r="B38" s="18" t="s">
        <v>29</v>
      </c>
      <c r="C38" s="18">
        <f t="shared" ref="C38:J38" si="12">SUM(C37)</f>
        <v>0</v>
      </c>
      <c r="D38" s="18">
        <f t="shared" si="12"/>
        <v>0</v>
      </c>
      <c r="E38" s="18">
        <f t="shared" si="12"/>
        <v>0</v>
      </c>
      <c r="F38" s="18">
        <f t="shared" si="12"/>
        <v>0</v>
      </c>
      <c r="G38" s="18">
        <f t="shared" si="12"/>
        <v>0</v>
      </c>
      <c r="H38" s="18">
        <f t="shared" si="12"/>
        <v>0</v>
      </c>
      <c r="I38" s="18">
        <f t="shared" si="12"/>
        <v>0</v>
      </c>
      <c r="J38" s="18">
        <f t="shared" si="12"/>
        <v>0</v>
      </c>
    </row>
    <row r="39" spans="1:10" s="193" customFormat="1" x14ac:dyDescent="0.25">
      <c r="A39" s="18"/>
      <c r="B39" s="18" t="s">
        <v>28</v>
      </c>
      <c r="C39" s="509">
        <f>C34+C19+C10+C38</f>
        <v>100407404174</v>
      </c>
      <c r="D39" s="509">
        <f t="shared" ref="D39:J39" si="13">D34+D19+D10+D38</f>
        <v>0</v>
      </c>
      <c r="E39" s="509">
        <f t="shared" si="13"/>
        <v>0</v>
      </c>
      <c r="F39" s="509">
        <f t="shared" si="13"/>
        <v>0</v>
      </c>
      <c r="G39" s="509">
        <f t="shared" si="13"/>
        <v>100407404174</v>
      </c>
      <c r="H39" s="509">
        <f t="shared" si="13"/>
        <v>100407404174</v>
      </c>
      <c r="I39" s="509">
        <f t="shared" si="13"/>
        <v>0</v>
      </c>
      <c r="J39" s="509">
        <f t="shared" si="13"/>
        <v>0</v>
      </c>
    </row>
    <row r="40" spans="1:10" x14ac:dyDescent="0.25">
      <c r="C40" s="508">
        <f>'LRA STLH KONVERSI (RINCI)'!E50</f>
        <v>100407404174</v>
      </c>
    </row>
    <row r="41" spans="1:10" x14ac:dyDescent="0.25">
      <c r="C41" s="508">
        <f>+[9]Sheet1!$D$19+[9]Sheet1!$D$37</f>
        <v>100407404174</v>
      </c>
    </row>
    <row r="42" spans="1:10" x14ac:dyDescent="0.25">
      <c r="C42" s="508">
        <f>+C39-C41</f>
        <v>0</v>
      </c>
    </row>
  </sheetData>
  <sheetProtection algorithmName="SHA-512" hashValue="gRw2mvuY2LG7/Vg0ruqlxNi7sihK5NjP7Y1x3a1dqGrG+FCGcs8phaJMnpDFZc+3On6KCANAYAgCZu6N40DQLQ==" saltValue="WVXLEpmBftZAybvawihjzg==" spinCount="100000" sheet="1" objects="1" scenarios="1"/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258" scale="60" orientation="landscape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P131"/>
  <sheetViews>
    <sheetView view="pageBreakPreview" zoomScale="70" zoomScaleNormal="70" zoomScaleSheetLayoutView="7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C117" sqref="C117"/>
    </sheetView>
  </sheetViews>
  <sheetFormatPr defaultRowHeight="15" x14ac:dyDescent="0.25"/>
  <cols>
    <col min="1" max="1" width="3.85546875" style="5" bestFit="1" customWidth="1"/>
    <col min="2" max="2" width="76" customWidth="1"/>
    <col min="3" max="3" width="20.28515625" style="3" customWidth="1"/>
    <col min="4" max="4" width="20.28515625" style="160" customWidth="1"/>
    <col min="5" max="11" width="23.28515625" style="3" customWidth="1"/>
    <col min="12" max="12" width="20.28515625" style="160" customWidth="1"/>
    <col min="13" max="14" width="17.28515625" bestFit="1" customWidth="1"/>
    <col min="15" max="16" width="15.5703125" bestFit="1" customWidth="1"/>
  </cols>
  <sheetData>
    <row r="1" spans="1:16" s="17" customFormat="1" ht="21" x14ac:dyDescent="0.35">
      <c r="A1" s="847" t="s">
        <v>27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</row>
    <row r="3" spans="1:16" s="4" customFormat="1" ht="60" x14ac:dyDescent="0.25">
      <c r="A3" s="13" t="s">
        <v>22</v>
      </c>
      <c r="B3" s="13" t="s">
        <v>23</v>
      </c>
      <c r="C3" s="14" t="s">
        <v>25</v>
      </c>
      <c r="D3" s="85" t="s">
        <v>865</v>
      </c>
      <c r="E3" s="84" t="s">
        <v>624</v>
      </c>
      <c r="F3" s="85" t="s">
        <v>866</v>
      </c>
      <c r="G3" s="38" t="s">
        <v>867</v>
      </c>
      <c r="H3" s="38" t="s">
        <v>868</v>
      </c>
      <c r="I3" s="38" t="s">
        <v>869</v>
      </c>
      <c r="J3" s="15" t="s">
        <v>870</v>
      </c>
      <c r="K3" s="205" t="s">
        <v>871</v>
      </c>
      <c r="L3" s="239" t="s">
        <v>26</v>
      </c>
    </row>
    <row r="4" spans="1:16" s="4" customFormat="1" x14ac:dyDescent="0.25">
      <c r="A4" s="13">
        <v>1</v>
      </c>
      <c r="B4" s="13">
        <v>2</v>
      </c>
      <c r="C4" s="16">
        <v>3</v>
      </c>
      <c r="D4" s="86">
        <v>4</v>
      </c>
      <c r="E4" s="86">
        <v>5</v>
      </c>
      <c r="F4" s="86" t="s">
        <v>138</v>
      </c>
      <c r="G4" s="39">
        <v>7</v>
      </c>
      <c r="H4" s="39" t="s">
        <v>661</v>
      </c>
      <c r="I4" s="39" t="s">
        <v>632</v>
      </c>
      <c r="J4" s="16" t="s">
        <v>633</v>
      </c>
      <c r="K4" s="240">
        <v>11</v>
      </c>
      <c r="L4" s="241">
        <v>12</v>
      </c>
    </row>
    <row r="5" spans="1:16" s="1" customFormat="1" x14ac:dyDescent="0.25">
      <c r="A5" s="6">
        <v>1</v>
      </c>
      <c r="B5" s="7" t="s">
        <v>9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6" x14ac:dyDescent="0.25">
      <c r="A6" s="9"/>
      <c r="B6" s="10" t="s">
        <v>560</v>
      </c>
      <c r="C6" s="11">
        <v>2752819465</v>
      </c>
      <c r="D6" s="11"/>
      <c r="E6" s="11"/>
      <c r="F6" s="11">
        <f>D6-E6</f>
        <v>0</v>
      </c>
      <c r="G6" s="11">
        <f>K6+H6-L6</f>
        <v>2710836750</v>
      </c>
      <c r="H6" s="11">
        <f>C6-E6</f>
        <v>2752819465</v>
      </c>
      <c r="I6" s="11"/>
      <c r="J6" s="11">
        <f>F6+I6</f>
        <v>0</v>
      </c>
      <c r="K6" s="11">
        <v>805200</v>
      </c>
      <c r="L6" s="11">
        <f>38488000+3814165+485750</f>
        <v>42787915</v>
      </c>
      <c r="M6" s="195"/>
      <c r="N6" s="195"/>
      <c r="O6" s="194"/>
      <c r="P6" s="194"/>
    </row>
    <row r="7" spans="1:16" x14ac:dyDescent="0.25">
      <c r="A7" s="9"/>
      <c r="B7" s="10" t="s">
        <v>561</v>
      </c>
      <c r="C7" s="11"/>
      <c r="D7" s="11"/>
      <c r="E7" s="11"/>
      <c r="F7" s="11">
        <f t="shared" ref="F7:F27" si="0">D7-E7</f>
        <v>0</v>
      </c>
      <c r="G7" s="485">
        <f t="shared" ref="G7:G27" si="1">K7+H7-L7</f>
        <v>0</v>
      </c>
      <c r="H7" s="11">
        <f t="shared" ref="H7:H27" si="2">C7-E7</f>
        <v>0</v>
      </c>
      <c r="I7" s="11"/>
      <c r="J7" s="11">
        <f t="shared" ref="J7:J27" si="3">F7+I7</f>
        <v>0</v>
      </c>
      <c r="K7" s="11"/>
      <c r="L7" s="11"/>
      <c r="M7" s="195"/>
      <c r="N7" s="195"/>
      <c r="O7" s="194"/>
      <c r="P7" s="194"/>
    </row>
    <row r="8" spans="1:16" x14ac:dyDescent="0.25">
      <c r="A8" s="9"/>
      <c r="B8" s="10" t="s">
        <v>562</v>
      </c>
      <c r="C8" s="11">
        <v>330953000</v>
      </c>
      <c r="D8" s="11"/>
      <c r="E8" s="11"/>
      <c r="F8" s="11">
        <f t="shared" si="0"/>
        <v>0</v>
      </c>
      <c r="G8" s="485">
        <f t="shared" si="1"/>
        <v>330953000</v>
      </c>
      <c r="H8" s="11">
        <f t="shared" si="2"/>
        <v>330953000</v>
      </c>
      <c r="I8" s="11"/>
      <c r="J8" s="11">
        <f t="shared" si="3"/>
        <v>0</v>
      </c>
      <c r="K8" s="11"/>
      <c r="L8" s="11"/>
      <c r="M8" s="195"/>
      <c r="N8" s="195"/>
      <c r="O8" s="194"/>
      <c r="P8" s="194"/>
    </row>
    <row r="9" spans="1:16" x14ac:dyDescent="0.25">
      <c r="A9" s="9"/>
      <c r="B9" s="10" t="s">
        <v>563</v>
      </c>
      <c r="C9" s="11">
        <v>115921350</v>
      </c>
      <c r="D9" s="11"/>
      <c r="E9" s="11"/>
      <c r="F9" s="11">
        <f t="shared" si="0"/>
        <v>0</v>
      </c>
      <c r="G9" s="485">
        <f t="shared" si="1"/>
        <v>115921350</v>
      </c>
      <c r="H9" s="11">
        <f t="shared" si="2"/>
        <v>115921350</v>
      </c>
      <c r="I9" s="11"/>
      <c r="J9" s="11">
        <f t="shared" si="3"/>
        <v>0</v>
      </c>
      <c r="K9" s="11"/>
      <c r="L9" s="11"/>
      <c r="M9" s="195"/>
      <c r="N9" s="195"/>
      <c r="O9" s="194"/>
      <c r="P9" s="194"/>
    </row>
    <row r="10" spans="1:16" x14ac:dyDescent="0.25">
      <c r="A10" s="9"/>
      <c r="B10" s="10" t="s">
        <v>564</v>
      </c>
      <c r="C10" s="11">
        <v>17230000</v>
      </c>
      <c r="D10" s="11"/>
      <c r="E10" s="11"/>
      <c r="F10" s="11">
        <f t="shared" si="0"/>
        <v>0</v>
      </c>
      <c r="G10" s="485">
        <f t="shared" si="1"/>
        <v>17230000</v>
      </c>
      <c r="H10" s="11">
        <f t="shared" si="2"/>
        <v>17230000</v>
      </c>
      <c r="I10" s="11"/>
      <c r="J10" s="11">
        <f t="shared" si="3"/>
        <v>0</v>
      </c>
      <c r="K10" s="11"/>
      <c r="L10" s="11"/>
      <c r="M10" s="195"/>
      <c r="N10" s="195"/>
      <c r="O10" s="194"/>
      <c r="P10" s="194"/>
    </row>
    <row r="11" spans="1:16" x14ac:dyDescent="0.25">
      <c r="A11" s="9"/>
      <c r="B11" s="10" t="s">
        <v>565</v>
      </c>
      <c r="C11" s="11">
        <v>241617670</v>
      </c>
      <c r="D11" s="11"/>
      <c r="E11" s="11"/>
      <c r="F11" s="11">
        <f t="shared" si="0"/>
        <v>0</v>
      </c>
      <c r="G11" s="485">
        <f t="shared" si="1"/>
        <v>241617670</v>
      </c>
      <c r="H11" s="11">
        <f t="shared" si="2"/>
        <v>241617670</v>
      </c>
      <c r="I11" s="11"/>
      <c r="J11" s="11">
        <f t="shared" si="3"/>
        <v>0</v>
      </c>
      <c r="K11" s="11"/>
      <c r="L11" s="11"/>
      <c r="M11" s="195"/>
      <c r="N11" s="195"/>
      <c r="O11" s="194"/>
      <c r="P11" s="194"/>
    </row>
    <row r="12" spans="1:16" x14ac:dyDescent="0.25">
      <c r="A12" s="9"/>
      <c r="B12" s="10" t="s">
        <v>566</v>
      </c>
      <c r="C12" s="11"/>
      <c r="D12" s="11"/>
      <c r="E12" s="11"/>
      <c r="F12" s="11">
        <f t="shared" si="0"/>
        <v>0</v>
      </c>
      <c r="G12" s="485">
        <f t="shared" si="1"/>
        <v>0</v>
      </c>
      <c r="H12" s="11">
        <f t="shared" si="2"/>
        <v>0</v>
      </c>
      <c r="I12" s="11"/>
      <c r="J12" s="11">
        <f t="shared" si="3"/>
        <v>0</v>
      </c>
      <c r="K12" s="11"/>
      <c r="L12" s="11"/>
      <c r="M12" s="195"/>
      <c r="N12" s="195"/>
      <c r="O12" s="194"/>
      <c r="P12" s="194"/>
    </row>
    <row r="13" spans="1:16" x14ac:dyDescent="0.25">
      <c r="A13" s="9"/>
      <c r="B13" s="10" t="s">
        <v>567</v>
      </c>
      <c r="C13" s="11">
        <v>38968430</v>
      </c>
      <c r="D13" s="11"/>
      <c r="E13" s="11"/>
      <c r="F13" s="11">
        <f t="shared" si="0"/>
        <v>0</v>
      </c>
      <c r="G13" s="485">
        <f t="shared" si="1"/>
        <v>38968430</v>
      </c>
      <c r="H13" s="11">
        <f t="shared" si="2"/>
        <v>38968430</v>
      </c>
      <c r="I13" s="11"/>
      <c r="J13" s="11">
        <f t="shared" si="3"/>
        <v>0</v>
      </c>
      <c r="K13" s="11"/>
      <c r="L13" s="11"/>
      <c r="M13" s="195"/>
      <c r="N13" s="195"/>
      <c r="O13" s="194"/>
      <c r="P13" s="194"/>
    </row>
    <row r="14" spans="1:16" x14ac:dyDescent="0.25">
      <c r="A14" s="9"/>
      <c r="B14" s="10" t="s">
        <v>0</v>
      </c>
      <c r="C14" s="11"/>
      <c r="D14" s="11"/>
      <c r="E14" s="11"/>
      <c r="F14" s="11">
        <f t="shared" si="0"/>
        <v>0</v>
      </c>
      <c r="G14" s="485">
        <f t="shared" si="1"/>
        <v>0</v>
      </c>
      <c r="H14" s="11">
        <f t="shared" si="2"/>
        <v>0</v>
      </c>
      <c r="I14" s="11"/>
      <c r="J14" s="11">
        <f t="shared" si="3"/>
        <v>0</v>
      </c>
      <c r="K14" s="11"/>
      <c r="L14" s="11"/>
      <c r="M14" s="195"/>
      <c r="N14" s="195"/>
      <c r="O14" s="194"/>
      <c r="P14" s="194"/>
    </row>
    <row r="15" spans="1:16" x14ac:dyDescent="0.25">
      <c r="A15" s="9"/>
      <c r="B15" s="10" t="s">
        <v>1</v>
      </c>
      <c r="C15" s="11">
        <v>245610100</v>
      </c>
      <c r="D15" s="11"/>
      <c r="E15" s="11"/>
      <c r="F15" s="11">
        <f t="shared" si="0"/>
        <v>0</v>
      </c>
      <c r="G15" s="485">
        <f t="shared" si="1"/>
        <v>245610100</v>
      </c>
      <c r="H15" s="11">
        <f t="shared" si="2"/>
        <v>245610100</v>
      </c>
      <c r="I15" s="11"/>
      <c r="J15" s="11">
        <f t="shared" si="3"/>
        <v>0</v>
      </c>
      <c r="K15" s="11"/>
      <c r="L15" s="11"/>
      <c r="M15" s="195"/>
      <c r="N15" s="195"/>
      <c r="O15" s="194"/>
      <c r="P15" s="194"/>
    </row>
    <row r="16" spans="1:16" x14ac:dyDescent="0.25">
      <c r="A16" s="9"/>
      <c r="B16" s="10" t="s">
        <v>2</v>
      </c>
      <c r="C16" s="11"/>
      <c r="D16" s="11"/>
      <c r="E16" s="11"/>
      <c r="F16" s="11">
        <f t="shared" si="0"/>
        <v>0</v>
      </c>
      <c r="G16" s="485">
        <f t="shared" si="1"/>
        <v>0</v>
      </c>
      <c r="H16" s="11">
        <f t="shared" si="2"/>
        <v>0</v>
      </c>
      <c r="I16" s="11"/>
      <c r="J16" s="11">
        <f t="shared" si="3"/>
        <v>0</v>
      </c>
      <c r="K16" s="11"/>
      <c r="L16" s="11"/>
      <c r="M16" s="195"/>
      <c r="N16" s="195"/>
      <c r="O16" s="194"/>
      <c r="P16" s="194"/>
    </row>
    <row r="17" spans="1:16" x14ac:dyDescent="0.25">
      <c r="A17" s="9"/>
      <c r="B17" s="10" t="s">
        <v>568</v>
      </c>
      <c r="C17" s="11"/>
      <c r="D17" s="11"/>
      <c r="E17" s="11"/>
      <c r="F17" s="11">
        <f t="shared" si="0"/>
        <v>0</v>
      </c>
      <c r="G17" s="485">
        <f t="shared" si="1"/>
        <v>0</v>
      </c>
      <c r="H17" s="11">
        <f t="shared" si="2"/>
        <v>0</v>
      </c>
      <c r="I17" s="11"/>
      <c r="J17" s="11">
        <f t="shared" si="3"/>
        <v>0</v>
      </c>
      <c r="K17" s="11"/>
      <c r="L17" s="11"/>
      <c r="M17" s="195"/>
      <c r="N17" s="195"/>
      <c r="O17" s="194"/>
      <c r="P17" s="194"/>
    </row>
    <row r="18" spans="1:16" x14ac:dyDescent="0.25">
      <c r="A18" s="9"/>
      <c r="B18" s="10" t="s">
        <v>3</v>
      </c>
      <c r="C18" s="11"/>
      <c r="D18" s="11"/>
      <c r="E18" s="11"/>
      <c r="F18" s="11">
        <f t="shared" si="0"/>
        <v>0</v>
      </c>
      <c r="G18" s="485">
        <f t="shared" si="1"/>
        <v>0</v>
      </c>
      <c r="H18" s="11">
        <f t="shared" si="2"/>
        <v>0</v>
      </c>
      <c r="I18" s="11"/>
      <c r="J18" s="11">
        <f t="shared" si="3"/>
        <v>0</v>
      </c>
      <c r="K18" s="11"/>
      <c r="L18" s="11"/>
      <c r="M18" s="195"/>
      <c r="N18" s="195"/>
      <c r="O18" s="194"/>
      <c r="P18" s="194"/>
    </row>
    <row r="19" spans="1:16" x14ac:dyDescent="0.25">
      <c r="A19" s="9"/>
      <c r="B19" s="10" t="s">
        <v>4</v>
      </c>
      <c r="C19" s="11"/>
      <c r="D19" s="11"/>
      <c r="E19" s="11"/>
      <c r="F19" s="11">
        <f t="shared" si="0"/>
        <v>0</v>
      </c>
      <c r="G19" s="485">
        <f t="shared" si="1"/>
        <v>0</v>
      </c>
      <c r="H19" s="11">
        <f t="shared" si="2"/>
        <v>0</v>
      </c>
      <c r="I19" s="11"/>
      <c r="J19" s="11">
        <f t="shared" si="3"/>
        <v>0</v>
      </c>
      <c r="K19" s="11"/>
      <c r="L19" s="11"/>
      <c r="M19" s="195"/>
      <c r="N19" s="195"/>
      <c r="O19" s="194"/>
      <c r="P19" s="194"/>
    </row>
    <row r="20" spans="1:16" x14ac:dyDescent="0.25">
      <c r="A20" s="9"/>
      <c r="B20" s="10" t="s">
        <v>569</v>
      </c>
      <c r="C20" s="11">
        <v>542212700</v>
      </c>
      <c r="D20" s="11"/>
      <c r="E20" s="11"/>
      <c r="F20" s="11">
        <f t="shared" si="0"/>
        <v>0</v>
      </c>
      <c r="G20" s="485">
        <f t="shared" si="1"/>
        <v>542212700</v>
      </c>
      <c r="H20" s="11">
        <f t="shared" si="2"/>
        <v>542212700</v>
      </c>
      <c r="I20" s="11"/>
      <c r="J20" s="11">
        <f t="shared" si="3"/>
        <v>0</v>
      </c>
      <c r="K20" s="11"/>
      <c r="L20" s="11"/>
      <c r="M20" s="195"/>
      <c r="N20" s="195"/>
      <c r="O20" s="194"/>
      <c r="P20" s="194"/>
    </row>
    <row r="21" spans="1:16" x14ac:dyDescent="0.25">
      <c r="A21" s="9"/>
      <c r="B21" s="10" t="s">
        <v>5</v>
      </c>
      <c r="C21" s="11">
        <v>737594000</v>
      </c>
      <c r="D21" s="11"/>
      <c r="E21" s="11"/>
      <c r="F21" s="11">
        <f t="shared" si="0"/>
        <v>0</v>
      </c>
      <c r="G21" s="485">
        <f t="shared" si="1"/>
        <v>737594000</v>
      </c>
      <c r="H21" s="11">
        <f t="shared" si="2"/>
        <v>737594000</v>
      </c>
      <c r="I21" s="11"/>
      <c r="J21" s="11">
        <f t="shared" si="3"/>
        <v>0</v>
      </c>
      <c r="K21" s="11"/>
      <c r="L21" s="11"/>
      <c r="M21" s="195"/>
      <c r="N21" s="195"/>
      <c r="O21" s="194"/>
      <c r="P21" s="194"/>
    </row>
    <row r="22" spans="1:16" x14ac:dyDescent="0.25">
      <c r="A22" s="9"/>
      <c r="B22" s="10" t="s">
        <v>6</v>
      </c>
      <c r="C22" s="11"/>
      <c r="D22" s="11"/>
      <c r="E22" s="11"/>
      <c r="F22" s="11">
        <f t="shared" si="0"/>
        <v>0</v>
      </c>
      <c r="G22" s="485">
        <f t="shared" si="1"/>
        <v>0</v>
      </c>
      <c r="H22" s="11">
        <f t="shared" si="2"/>
        <v>0</v>
      </c>
      <c r="I22" s="11"/>
      <c r="J22" s="11">
        <f t="shared" si="3"/>
        <v>0</v>
      </c>
      <c r="K22" s="11"/>
      <c r="L22" s="11"/>
      <c r="M22" s="195"/>
      <c r="N22" s="195"/>
      <c r="O22" s="194"/>
      <c r="P22" s="194"/>
    </row>
    <row r="23" spans="1:16" x14ac:dyDescent="0.25">
      <c r="A23" s="9"/>
      <c r="B23" s="10" t="s">
        <v>7</v>
      </c>
      <c r="C23" s="11"/>
      <c r="D23" s="11"/>
      <c r="E23" s="11"/>
      <c r="F23" s="11">
        <f t="shared" si="0"/>
        <v>0</v>
      </c>
      <c r="G23" s="485">
        <f t="shared" si="1"/>
        <v>0</v>
      </c>
      <c r="H23" s="11">
        <f t="shared" si="2"/>
        <v>0</v>
      </c>
      <c r="I23" s="11"/>
      <c r="J23" s="11">
        <f t="shared" si="3"/>
        <v>0</v>
      </c>
      <c r="K23" s="11"/>
      <c r="L23" s="11"/>
      <c r="M23" s="195"/>
      <c r="N23" s="195"/>
      <c r="O23" s="194"/>
      <c r="P23" s="194"/>
    </row>
    <row r="24" spans="1:16" x14ac:dyDescent="0.25">
      <c r="A24" s="9"/>
      <c r="B24" s="10" t="s">
        <v>570</v>
      </c>
      <c r="C24" s="11">
        <v>428345000</v>
      </c>
      <c r="D24" s="11"/>
      <c r="E24" s="11"/>
      <c r="F24" s="11">
        <f t="shared" si="0"/>
        <v>0</v>
      </c>
      <c r="G24" s="485">
        <f t="shared" si="1"/>
        <v>428345000</v>
      </c>
      <c r="H24" s="11">
        <f t="shared" si="2"/>
        <v>428345000</v>
      </c>
      <c r="I24" s="11"/>
      <c r="J24" s="11">
        <f t="shared" si="3"/>
        <v>0</v>
      </c>
      <c r="K24" s="11"/>
      <c r="L24" s="11"/>
      <c r="M24" s="195"/>
      <c r="N24" s="195"/>
      <c r="O24" s="194"/>
      <c r="P24" s="194"/>
    </row>
    <row r="25" spans="1:16" x14ac:dyDescent="0.25">
      <c r="A25" s="9"/>
      <c r="B25" s="10" t="s">
        <v>8</v>
      </c>
      <c r="C25" s="11"/>
      <c r="D25" s="11"/>
      <c r="E25" s="11"/>
      <c r="F25" s="11">
        <f t="shared" si="0"/>
        <v>0</v>
      </c>
      <c r="G25" s="485">
        <f t="shared" si="1"/>
        <v>0</v>
      </c>
      <c r="H25" s="11">
        <f t="shared" si="2"/>
        <v>0</v>
      </c>
      <c r="I25" s="11"/>
      <c r="J25" s="11">
        <f t="shared" si="3"/>
        <v>0</v>
      </c>
      <c r="K25" s="11"/>
      <c r="L25" s="11"/>
      <c r="M25" s="195"/>
      <c r="N25" s="195"/>
      <c r="O25" s="194"/>
      <c r="P25" s="194"/>
    </row>
    <row r="26" spans="1:16" x14ac:dyDescent="0.25">
      <c r="A26" s="9"/>
      <c r="B26" s="10" t="s">
        <v>509</v>
      </c>
      <c r="C26" s="11">
        <v>483437000</v>
      </c>
      <c r="D26" s="11"/>
      <c r="E26" s="11"/>
      <c r="F26" s="11">
        <f t="shared" si="0"/>
        <v>0</v>
      </c>
      <c r="G26" s="485">
        <f t="shared" si="1"/>
        <v>483437000</v>
      </c>
      <c r="H26" s="11">
        <f t="shared" si="2"/>
        <v>483437000</v>
      </c>
      <c r="I26" s="11"/>
      <c r="J26" s="11">
        <f t="shared" si="3"/>
        <v>0</v>
      </c>
      <c r="K26" s="11"/>
      <c r="L26" s="11"/>
      <c r="M26" s="195"/>
      <c r="N26" s="195"/>
      <c r="O26" s="194"/>
      <c r="P26" s="194"/>
    </row>
    <row r="27" spans="1:16" x14ac:dyDescent="0.25">
      <c r="A27" s="9"/>
      <c r="B27" s="10" t="s">
        <v>571</v>
      </c>
      <c r="C27" s="11">
        <v>75000000</v>
      </c>
      <c r="D27" s="11"/>
      <c r="E27" s="11"/>
      <c r="F27" s="11">
        <f t="shared" si="0"/>
        <v>0</v>
      </c>
      <c r="G27" s="485">
        <f t="shared" si="1"/>
        <v>75000000</v>
      </c>
      <c r="H27" s="11">
        <f t="shared" si="2"/>
        <v>75000000</v>
      </c>
      <c r="I27" s="11"/>
      <c r="J27" s="11">
        <f t="shared" si="3"/>
        <v>0</v>
      </c>
      <c r="K27" s="11"/>
      <c r="L27" s="11"/>
      <c r="M27" s="195"/>
      <c r="N27" s="195"/>
      <c r="O27" s="194"/>
      <c r="P27" s="194"/>
    </row>
    <row r="28" spans="1:16" s="2" customFormat="1" x14ac:dyDescent="0.25">
      <c r="A28" s="6"/>
      <c r="B28" s="6" t="s">
        <v>29</v>
      </c>
      <c r="C28" s="18">
        <f>SUM(C6:C27)</f>
        <v>6009708715</v>
      </c>
      <c r="D28" s="18">
        <f t="shared" ref="D28:L28" si="4">SUM(D6:D27)</f>
        <v>0</v>
      </c>
      <c r="E28" s="18">
        <f t="shared" si="4"/>
        <v>0</v>
      </c>
      <c r="F28" s="18">
        <f t="shared" si="4"/>
        <v>0</v>
      </c>
      <c r="G28" s="18">
        <f>SUM(G6:G27)</f>
        <v>5967726000</v>
      </c>
      <c r="H28" s="18">
        <f t="shared" si="4"/>
        <v>6009708715</v>
      </c>
      <c r="I28" s="18">
        <f t="shared" si="4"/>
        <v>0</v>
      </c>
      <c r="J28" s="18">
        <f t="shared" si="4"/>
        <v>0</v>
      </c>
      <c r="K28" s="18">
        <f t="shared" si="4"/>
        <v>805200</v>
      </c>
      <c r="L28" s="18">
        <f t="shared" si="4"/>
        <v>42787915</v>
      </c>
      <c r="M28" s="193"/>
      <c r="N28" s="193"/>
      <c r="O28" s="194"/>
      <c r="P28" s="194"/>
    </row>
    <row r="29" spans="1:16" s="2" customFormat="1" x14ac:dyDescent="0.25">
      <c r="A29" s="6"/>
      <c r="B29" s="6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6" s="1" customFormat="1" x14ac:dyDescent="0.25">
      <c r="A30" s="6">
        <v>2</v>
      </c>
      <c r="B30" s="7" t="s">
        <v>10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6" x14ac:dyDescent="0.25">
      <c r="A31" s="9"/>
      <c r="B31" s="10" t="s">
        <v>572</v>
      </c>
      <c r="C31" s="11">
        <v>237277000</v>
      </c>
      <c r="D31" s="11"/>
      <c r="E31" s="11"/>
      <c r="F31" s="11">
        <f t="shared" ref="F31:F46" si="5">D31-E31</f>
        <v>0</v>
      </c>
      <c r="G31" s="485">
        <f t="shared" ref="G31:G46" si="6">K31+H31-L31</f>
        <v>237277000</v>
      </c>
      <c r="H31" s="11">
        <f t="shared" ref="H31:H46" si="7">C31-E31</f>
        <v>237277000</v>
      </c>
      <c r="I31" s="11"/>
      <c r="J31" s="11">
        <f t="shared" ref="J31:J46" si="8">F31+I31</f>
        <v>0</v>
      </c>
      <c r="K31" s="11"/>
      <c r="L31" s="11"/>
    </row>
    <row r="32" spans="1:16" x14ac:dyDescent="0.25">
      <c r="A32" s="9"/>
      <c r="B32" s="10" t="s">
        <v>573</v>
      </c>
      <c r="C32" s="11"/>
      <c r="D32" s="11"/>
      <c r="E32" s="11"/>
      <c r="F32" s="11">
        <f t="shared" si="5"/>
        <v>0</v>
      </c>
      <c r="G32" s="485">
        <f t="shared" si="6"/>
        <v>0</v>
      </c>
      <c r="H32" s="11">
        <f t="shared" si="7"/>
        <v>0</v>
      </c>
      <c r="I32" s="11"/>
      <c r="J32" s="11">
        <f t="shared" si="8"/>
        <v>0</v>
      </c>
      <c r="K32" s="11"/>
      <c r="L32" s="11"/>
    </row>
    <row r="33" spans="1:14" x14ac:dyDescent="0.25">
      <c r="A33" s="9"/>
      <c r="B33" s="10" t="s">
        <v>574</v>
      </c>
      <c r="C33" s="11"/>
      <c r="D33" s="11"/>
      <c r="E33" s="11"/>
      <c r="F33" s="11">
        <f t="shared" si="5"/>
        <v>0</v>
      </c>
      <c r="G33" s="485">
        <f t="shared" si="6"/>
        <v>0</v>
      </c>
      <c r="H33" s="11">
        <f t="shared" si="7"/>
        <v>0</v>
      </c>
      <c r="I33" s="11"/>
      <c r="J33" s="11">
        <f t="shared" si="8"/>
        <v>0</v>
      </c>
      <c r="K33" s="11"/>
      <c r="L33" s="11"/>
    </row>
    <row r="34" spans="1:14" x14ac:dyDescent="0.25">
      <c r="A34" s="9"/>
      <c r="B34" s="10" t="s">
        <v>575</v>
      </c>
      <c r="C34" s="11">
        <v>86159150</v>
      </c>
      <c r="D34" s="11"/>
      <c r="E34" s="11"/>
      <c r="F34" s="11">
        <f t="shared" si="5"/>
        <v>0</v>
      </c>
      <c r="G34" s="485">
        <f t="shared" si="6"/>
        <v>77999240</v>
      </c>
      <c r="H34" s="11">
        <f t="shared" si="7"/>
        <v>86159150</v>
      </c>
      <c r="I34" s="11"/>
      <c r="J34" s="11">
        <f t="shared" si="8"/>
        <v>0</v>
      </c>
      <c r="K34" s="492">
        <v>4372528</v>
      </c>
      <c r="L34" s="492">
        <v>12532438</v>
      </c>
    </row>
    <row r="35" spans="1:14" x14ac:dyDescent="0.25">
      <c r="A35" s="9"/>
      <c r="B35" s="10" t="s">
        <v>576</v>
      </c>
      <c r="C35" s="11"/>
      <c r="D35" s="11"/>
      <c r="E35" s="11"/>
      <c r="F35" s="11">
        <f t="shared" si="5"/>
        <v>0</v>
      </c>
      <c r="G35" s="485">
        <f t="shared" si="6"/>
        <v>0</v>
      </c>
      <c r="H35" s="11">
        <f t="shared" si="7"/>
        <v>0</v>
      </c>
      <c r="I35" s="11"/>
      <c r="J35" s="11">
        <f t="shared" si="8"/>
        <v>0</v>
      </c>
      <c r="K35" s="11"/>
      <c r="L35" s="11"/>
    </row>
    <row r="36" spans="1:14" x14ac:dyDescent="0.25">
      <c r="A36" s="9"/>
      <c r="B36" s="10" t="s">
        <v>577</v>
      </c>
      <c r="C36" s="11"/>
      <c r="D36" s="11"/>
      <c r="E36" s="11"/>
      <c r="F36" s="11">
        <f t="shared" si="5"/>
        <v>0</v>
      </c>
      <c r="G36" s="485">
        <f t="shared" si="6"/>
        <v>0</v>
      </c>
      <c r="H36" s="11">
        <f t="shared" si="7"/>
        <v>0</v>
      </c>
      <c r="I36" s="11"/>
      <c r="J36" s="11">
        <f t="shared" si="8"/>
        <v>0</v>
      </c>
      <c r="K36" s="11"/>
      <c r="L36" s="11"/>
    </row>
    <row r="37" spans="1:14" x14ac:dyDescent="0.25">
      <c r="A37" s="9"/>
      <c r="B37" s="10" t="s">
        <v>578</v>
      </c>
      <c r="C37" s="11"/>
      <c r="D37" s="11"/>
      <c r="E37" s="11"/>
      <c r="F37" s="11">
        <f t="shared" si="5"/>
        <v>0</v>
      </c>
      <c r="G37" s="485">
        <f t="shared" si="6"/>
        <v>0</v>
      </c>
      <c r="H37" s="11">
        <f t="shared" si="7"/>
        <v>0</v>
      </c>
      <c r="I37" s="11"/>
      <c r="J37" s="11">
        <f t="shared" si="8"/>
        <v>0</v>
      </c>
      <c r="K37" s="11"/>
      <c r="L37" s="11"/>
    </row>
    <row r="38" spans="1:14" x14ac:dyDescent="0.25">
      <c r="A38" s="9"/>
      <c r="B38" s="10" t="s">
        <v>579</v>
      </c>
      <c r="C38" s="11"/>
      <c r="D38" s="11"/>
      <c r="E38" s="11"/>
      <c r="F38" s="11">
        <f t="shared" si="5"/>
        <v>0</v>
      </c>
      <c r="G38" s="485">
        <f t="shared" si="6"/>
        <v>0</v>
      </c>
      <c r="H38" s="11">
        <f t="shared" si="7"/>
        <v>0</v>
      </c>
      <c r="I38" s="11"/>
      <c r="J38" s="11">
        <f t="shared" si="8"/>
        <v>0</v>
      </c>
      <c r="K38" s="11"/>
      <c r="L38" s="11"/>
    </row>
    <row r="39" spans="1:14" x14ac:dyDescent="0.25">
      <c r="A39" s="9"/>
      <c r="B39" s="10" t="s">
        <v>580</v>
      </c>
      <c r="C39" s="11">
        <v>85820000</v>
      </c>
      <c r="D39" s="11"/>
      <c r="E39" s="11"/>
      <c r="F39" s="11">
        <f t="shared" si="5"/>
        <v>0</v>
      </c>
      <c r="G39" s="485">
        <f t="shared" si="6"/>
        <v>85820000</v>
      </c>
      <c r="H39" s="11">
        <f t="shared" si="7"/>
        <v>85820000</v>
      </c>
      <c r="I39" s="11"/>
      <c r="J39" s="11">
        <f t="shared" si="8"/>
        <v>0</v>
      </c>
      <c r="K39" s="11"/>
      <c r="L39" s="11"/>
    </row>
    <row r="40" spans="1:14" x14ac:dyDescent="0.25">
      <c r="A40" s="9"/>
      <c r="B40" s="10" t="s">
        <v>581</v>
      </c>
      <c r="C40" s="11"/>
      <c r="D40" s="11"/>
      <c r="E40" s="11"/>
      <c r="F40" s="11">
        <f t="shared" si="5"/>
        <v>0</v>
      </c>
      <c r="G40" s="485">
        <f t="shared" si="6"/>
        <v>0</v>
      </c>
      <c r="H40" s="11">
        <f t="shared" si="7"/>
        <v>0</v>
      </c>
      <c r="I40" s="11"/>
      <c r="J40" s="11">
        <f t="shared" si="8"/>
        <v>0</v>
      </c>
      <c r="K40" s="11"/>
      <c r="L40" s="11"/>
    </row>
    <row r="41" spans="1:14" x14ac:dyDescent="0.25">
      <c r="A41" s="9"/>
      <c r="B41" s="10" t="s">
        <v>582</v>
      </c>
      <c r="C41" s="11"/>
      <c r="D41" s="11"/>
      <c r="E41" s="11"/>
      <c r="F41" s="11">
        <f t="shared" si="5"/>
        <v>0</v>
      </c>
      <c r="G41" s="485">
        <f t="shared" si="6"/>
        <v>0</v>
      </c>
      <c r="H41" s="11">
        <f t="shared" si="7"/>
        <v>0</v>
      </c>
      <c r="I41" s="11"/>
      <c r="J41" s="11">
        <f t="shared" si="8"/>
        <v>0</v>
      </c>
      <c r="K41" s="11"/>
      <c r="L41" s="11"/>
    </row>
    <row r="42" spans="1:14" x14ac:dyDescent="0.25">
      <c r="A42" s="9"/>
      <c r="B42" s="10" t="s">
        <v>11</v>
      </c>
      <c r="C42" s="11"/>
      <c r="D42" s="11"/>
      <c r="E42" s="11"/>
      <c r="F42" s="11">
        <f t="shared" si="5"/>
        <v>0</v>
      </c>
      <c r="G42" s="485">
        <f t="shared" si="6"/>
        <v>0</v>
      </c>
      <c r="H42" s="11">
        <f t="shared" si="7"/>
        <v>0</v>
      </c>
      <c r="I42" s="11"/>
      <c r="J42" s="11">
        <f t="shared" si="8"/>
        <v>0</v>
      </c>
      <c r="K42" s="11"/>
      <c r="L42" s="11"/>
    </row>
    <row r="43" spans="1:14" x14ac:dyDescent="0.25">
      <c r="A43" s="9"/>
      <c r="B43" s="10" t="s">
        <v>12</v>
      </c>
      <c r="C43" s="11">
        <v>109000000</v>
      </c>
      <c r="D43" s="11"/>
      <c r="E43" s="11"/>
      <c r="F43" s="11">
        <f t="shared" si="5"/>
        <v>0</v>
      </c>
      <c r="G43" s="485">
        <f t="shared" si="6"/>
        <v>109000000</v>
      </c>
      <c r="H43" s="11">
        <f t="shared" si="7"/>
        <v>109000000</v>
      </c>
      <c r="I43" s="11"/>
      <c r="J43" s="11">
        <f t="shared" si="8"/>
        <v>0</v>
      </c>
      <c r="K43" s="11"/>
      <c r="L43" s="11"/>
    </row>
    <row r="44" spans="1:14" x14ac:dyDescent="0.25">
      <c r="A44" s="9"/>
      <c r="B44" s="10" t="s">
        <v>13</v>
      </c>
      <c r="C44" s="11"/>
      <c r="D44" s="11"/>
      <c r="E44" s="11"/>
      <c r="F44" s="11">
        <f t="shared" si="5"/>
        <v>0</v>
      </c>
      <c r="G44" s="485">
        <f t="shared" si="6"/>
        <v>0</v>
      </c>
      <c r="H44" s="11">
        <f t="shared" si="7"/>
        <v>0</v>
      </c>
      <c r="I44" s="11"/>
      <c r="J44" s="11">
        <f t="shared" si="8"/>
        <v>0</v>
      </c>
      <c r="K44" s="11"/>
      <c r="L44" s="11"/>
    </row>
    <row r="45" spans="1:14" x14ac:dyDescent="0.25">
      <c r="A45" s="9"/>
      <c r="B45" s="10" t="s">
        <v>583</v>
      </c>
      <c r="C45" s="11"/>
      <c r="D45" s="11"/>
      <c r="E45" s="11"/>
      <c r="F45" s="11">
        <f t="shared" si="5"/>
        <v>0</v>
      </c>
      <c r="G45" s="485">
        <f t="shared" si="6"/>
        <v>0</v>
      </c>
      <c r="H45" s="11">
        <f t="shared" si="7"/>
        <v>0</v>
      </c>
      <c r="I45" s="11"/>
      <c r="J45" s="11">
        <f t="shared" si="8"/>
        <v>0</v>
      </c>
      <c r="K45" s="11"/>
      <c r="L45" s="11"/>
    </row>
    <row r="46" spans="1:14" x14ac:dyDescent="0.25">
      <c r="A46" s="9"/>
      <c r="B46" s="10" t="s">
        <v>584</v>
      </c>
      <c r="C46" s="11"/>
      <c r="D46" s="11"/>
      <c r="E46" s="11"/>
      <c r="F46" s="11">
        <f t="shared" si="5"/>
        <v>0</v>
      </c>
      <c r="G46" s="485">
        <f t="shared" si="6"/>
        <v>0</v>
      </c>
      <c r="H46" s="11">
        <f t="shared" si="7"/>
        <v>0</v>
      </c>
      <c r="I46" s="11"/>
      <c r="J46" s="11">
        <f t="shared" si="8"/>
        <v>0</v>
      </c>
      <c r="K46" s="11"/>
      <c r="L46" s="11"/>
    </row>
    <row r="47" spans="1:14" s="2" customFormat="1" x14ac:dyDescent="0.25">
      <c r="A47" s="6"/>
      <c r="B47" s="6" t="s">
        <v>29</v>
      </c>
      <c r="C47" s="18">
        <f>SUM(C31:C46)</f>
        <v>518256150</v>
      </c>
      <c r="D47" s="18">
        <f t="shared" ref="D47:L47" si="9">SUM(D31:D46)</f>
        <v>0</v>
      </c>
      <c r="E47" s="18">
        <f t="shared" si="9"/>
        <v>0</v>
      </c>
      <c r="F47" s="18">
        <f t="shared" si="9"/>
        <v>0</v>
      </c>
      <c r="G47" s="18">
        <f>SUM(G31:G46)</f>
        <v>510096240</v>
      </c>
      <c r="H47" s="18">
        <f t="shared" si="9"/>
        <v>518256150</v>
      </c>
      <c r="I47" s="18">
        <f t="shared" si="9"/>
        <v>0</v>
      </c>
      <c r="J47" s="18">
        <f t="shared" si="9"/>
        <v>0</v>
      </c>
      <c r="K47" s="18">
        <f t="shared" si="9"/>
        <v>4372528</v>
      </c>
      <c r="L47" s="18">
        <f t="shared" si="9"/>
        <v>12532438</v>
      </c>
      <c r="M47" s="194"/>
      <c r="N47" s="194"/>
    </row>
    <row r="48" spans="1:14" s="2" customFormat="1" x14ac:dyDescent="0.25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4" s="1" customFormat="1" x14ac:dyDescent="0.25">
      <c r="A49" s="6">
        <v>3</v>
      </c>
      <c r="B49" s="7" t="s">
        <v>14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4" s="30" customFormat="1" x14ac:dyDescent="0.25">
      <c r="A50" s="28"/>
      <c r="B50" s="19" t="s">
        <v>170</v>
      </c>
      <c r="C50" s="29">
        <f>+[9]Sheet1!$D$97</f>
        <v>1570264655</v>
      </c>
      <c r="D50" s="207"/>
      <c r="E50" s="207"/>
      <c r="F50" s="11">
        <f>D50-E50</f>
        <v>0</v>
      </c>
      <c r="G50" s="485">
        <f t="shared" ref="G50:G51" si="10">K50+H50-L50</f>
        <v>1605521155</v>
      </c>
      <c r="H50" s="11">
        <f>C50-E50</f>
        <v>1570264655</v>
      </c>
      <c r="I50" s="11"/>
      <c r="J50" s="11">
        <f>F50+I50</f>
        <v>0</v>
      </c>
      <c r="K50" s="207">
        <v>42294500</v>
      </c>
      <c r="L50" s="207">
        <v>7038000</v>
      </c>
    </row>
    <row r="51" spans="1:14" x14ac:dyDescent="0.25">
      <c r="A51" s="9"/>
      <c r="B51" s="10" t="s">
        <v>66</v>
      </c>
      <c r="C51" s="11">
        <f>+[9]Sheet1!$D$98</f>
        <v>792011660</v>
      </c>
      <c r="D51" s="11"/>
      <c r="E51" s="11"/>
      <c r="F51" s="11">
        <f>D51-E51</f>
        <v>0</v>
      </c>
      <c r="G51" s="485">
        <f t="shared" si="10"/>
        <v>792011660</v>
      </c>
      <c r="H51" s="11">
        <f>C51-E51</f>
        <v>792011660</v>
      </c>
      <c r="I51" s="11"/>
      <c r="J51" s="11">
        <f>F51+I51</f>
        <v>0</v>
      </c>
      <c r="K51" s="11"/>
      <c r="L51" s="11"/>
    </row>
    <row r="52" spans="1:14" s="2" customFormat="1" x14ac:dyDescent="0.25">
      <c r="A52" s="6"/>
      <c r="B52" s="6" t="s">
        <v>29</v>
      </c>
      <c r="C52" s="18">
        <f>SUM(C50:C51)</f>
        <v>2362276315</v>
      </c>
      <c r="D52" s="18">
        <f t="shared" ref="D52:L52" si="11">SUM(D50:D51)</f>
        <v>0</v>
      </c>
      <c r="E52" s="18">
        <f t="shared" si="11"/>
        <v>0</v>
      </c>
      <c r="F52" s="18">
        <f t="shared" si="11"/>
        <v>0</v>
      </c>
      <c r="G52" s="18">
        <f>SUM(G50:G51)</f>
        <v>2397532815</v>
      </c>
      <c r="H52" s="18">
        <f t="shared" si="11"/>
        <v>2362276315</v>
      </c>
      <c r="I52" s="18">
        <f t="shared" si="11"/>
        <v>0</v>
      </c>
      <c r="J52" s="18">
        <f t="shared" si="11"/>
        <v>0</v>
      </c>
      <c r="K52" s="18">
        <f t="shared" si="11"/>
        <v>42294500</v>
      </c>
      <c r="L52" s="18">
        <f t="shared" si="11"/>
        <v>7038000</v>
      </c>
      <c r="M52" s="194"/>
      <c r="N52" s="194"/>
    </row>
    <row r="53" spans="1:14" s="2" customFormat="1" x14ac:dyDescent="0.25">
      <c r="A53" s="6"/>
      <c r="B53" s="6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4" s="1" customFormat="1" x14ac:dyDescent="0.25">
      <c r="A54" s="6">
        <v>4</v>
      </c>
      <c r="B54" s="7" t="s">
        <v>30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4" x14ac:dyDescent="0.25">
      <c r="A55" s="9"/>
      <c r="B55" s="10" t="s">
        <v>585</v>
      </c>
      <c r="C55" s="11">
        <f>+[9]Sheet1!$D$124</f>
        <v>19950000</v>
      </c>
      <c r="D55" s="11"/>
      <c r="E55" s="11"/>
      <c r="F55" s="11">
        <f>D55-E55</f>
        <v>0</v>
      </c>
      <c r="G55" s="485">
        <f t="shared" ref="G55:G59" si="12">K55+H55-L55</f>
        <v>19950000</v>
      </c>
      <c r="H55" s="11">
        <f>C55-E55</f>
        <v>19950000</v>
      </c>
      <c r="I55" s="11"/>
      <c r="J55" s="11">
        <f>F55+I55</f>
        <v>0</v>
      </c>
      <c r="K55" s="11"/>
      <c r="L55" s="11"/>
    </row>
    <row r="56" spans="1:14" x14ac:dyDescent="0.25">
      <c r="A56" s="9"/>
      <c r="B56" s="10" t="s">
        <v>15</v>
      </c>
      <c r="C56" s="11"/>
      <c r="D56" s="11"/>
      <c r="E56" s="11"/>
      <c r="F56" s="11">
        <f>D56-E56</f>
        <v>0</v>
      </c>
      <c r="G56" s="485">
        <f t="shared" si="12"/>
        <v>0</v>
      </c>
      <c r="H56" s="11">
        <f>C56-E56</f>
        <v>0</v>
      </c>
      <c r="I56" s="11"/>
      <c r="J56" s="11">
        <f>F56+I56</f>
        <v>0</v>
      </c>
      <c r="K56" s="11"/>
      <c r="L56" s="11"/>
    </row>
    <row r="57" spans="1:14" x14ac:dyDescent="0.25">
      <c r="A57" s="9"/>
      <c r="B57" s="10" t="s">
        <v>16</v>
      </c>
      <c r="C57" s="11"/>
      <c r="D57" s="11"/>
      <c r="E57" s="11"/>
      <c r="F57" s="11">
        <f>D57-E57</f>
        <v>0</v>
      </c>
      <c r="G57" s="485">
        <f t="shared" si="12"/>
        <v>0</v>
      </c>
      <c r="H57" s="11">
        <f>C57-E57</f>
        <v>0</v>
      </c>
      <c r="I57" s="11"/>
      <c r="J57" s="11">
        <f>F57+I57</f>
        <v>0</v>
      </c>
      <c r="K57" s="11"/>
      <c r="L57" s="11"/>
    </row>
    <row r="58" spans="1:14" x14ac:dyDescent="0.25">
      <c r="A58" s="9"/>
      <c r="B58" s="10" t="s">
        <v>17</v>
      </c>
      <c r="C58" s="11"/>
      <c r="D58" s="11"/>
      <c r="E58" s="11"/>
      <c r="F58" s="11">
        <f>D58-E58</f>
        <v>0</v>
      </c>
      <c r="G58" s="485">
        <f t="shared" si="12"/>
        <v>0</v>
      </c>
      <c r="H58" s="11">
        <f>C58-E58</f>
        <v>0</v>
      </c>
      <c r="I58" s="11"/>
      <c r="J58" s="11">
        <f>F58+I58</f>
        <v>0</v>
      </c>
      <c r="K58" s="11"/>
      <c r="L58" s="11"/>
    </row>
    <row r="59" spans="1:14" x14ac:dyDescent="0.25">
      <c r="A59" s="9"/>
      <c r="B59" s="10" t="s">
        <v>18</v>
      </c>
      <c r="C59" s="11"/>
      <c r="D59" s="11"/>
      <c r="E59" s="11"/>
      <c r="F59" s="11">
        <f>D59-E59</f>
        <v>0</v>
      </c>
      <c r="G59" s="485">
        <f t="shared" si="12"/>
        <v>0</v>
      </c>
      <c r="H59" s="11">
        <f>C59-E59</f>
        <v>0</v>
      </c>
      <c r="I59" s="11"/>
      <c r="J59" s="11">
        <f>F59+I59</f>
        <v>0</v>
      </c>
      <c r="K59" s="11"/>
      <c r="L59" s="11"/>
    </row>
    <row r="60" spans="1:14" s="2" customFormat="1" x14ac:dyDescent="0.25">
      <c r="A60" s="6"/>
      <c r="B60" s="6" t="s">
        <v>29</v>
      </c>
      <c r="C60" s="161">
        <f>SUM(C55:C59)</f>
        <v>19950000</v>
      </c>
      <c r="D60" s="161">
        <f t="shared" ref="D60:L60" si="13">SUM(D55:D59)</f>
        <v>0</v>
      </c>
      <c r="E60" s="161">
        <f t="shared" si="13"/>
        <v>0</v>
      </c>
      <c r="F60" s="161">
        <f t="shared" si="13"/>
        <v>0</v>
      </c>
      <c r="G60" s="161">
        <f t="shared" si="13"/>
        <v>19950000</v>
      </c>
      <c r="H60" s="161">
        <f t="shared" si="13"/>
        <v>19950000</v>
      </c>
      <c r="I60" s="161">
        <f t="shared" si="13"/>
        <v>0</v>
      </c>
      <c r="J60" s="161">
        <f t="shared" si="13"/>
        <v>0</v>
      </c>
      <c r="K60" s="161">
        <f t="shared" si="13"/>
        <v>0</v>
      </c>
      <c r="L60" s="161">
        <f t="shared" si="13"/>
        <v>0</v>
      </c>
      <c r="M60" s="194"/>
      <c r="N60" s="194"/>
    </row>
    <row r="61" spans="1:14" x14ac:dyDescent="0.25">
      <c r="A61" s="9"/>
      <c r="B61" s="10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4" s="1" customFormat="1" x14ac:dyDescent="0.25">
      <c r="A62" s="6">
        <v>5</v>
      </c>
      <c r="B62" s="7" t="s">
        <v>19</v>
      </c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4" x14ac:dyDescent="0.25">
      <c r="A63" s="9"/>
      <c r="B63" s="10" t="s">
        <v>586</v>
      </c>
      <c r="C63" s="11">
        <f>+[9]Sheet1!$D$126</f>
        <v>248160000</v>
      </c>
      <c r="D63" s="11"/>
      <c r="E63" s="11"/>
      <c r="F63" s="11">
        <f>D63-E63</f>
        <v>0</v>
      </c>
      <c r="G63" s="485">
        <f t="shared" ref="G63" si="14">K63+H63-L63</f>
        <v>248160000</v>
      </c>
      <c r="H63" s="11">
        <f>C63-E63</f>
        <v>248160000</v>
      </c>
      <c r="I63" s="11"/>
      <c r="J63" s="11">
        <f>F63+I63</f>
        <v>0</v>
      </c>
      <c r="K63" s="11"/>
      <c r="L63" s="11"/>
    </row>
    <row r="64" spans="1:14" s="2" customFormat="1" x14ac:dyDescent="0.25">
      <c r="A64" s="6"/>
      <c r="B64" s="6" t="s">
        <v>29</v>
      </c>
      <c r="C64" s="18">
        <f>SUM(C63)</f>
        <v>248160000</v>
      </c>
      <c r="D64" s="18">
        <f t="shared" ref="D64:L64" si="15">SUM(D63)</f>
        <v>0</v>
      </c>
      <c r="E64" s="18">
        <f t="shared" si="15"/>
        <v>0</v>
      </c>
      <c r="F64" s="18">
        <f t="shared" si="15"/>
        <v>0</v>
      </c>
      <c r="G64" s="18">
        <f>SUM(G63)</f>
        <v>248160000</v>
      </c>
      <c r="H64" s="18">
        <f t="shared" si="15"/>
        <v>248160000</v>
      </c>
      <c r="I64" s="18">
        <f t="shared" si="15"/>
        <v>0</v>
      </c>
      <c r="J64" s="18">
        <f t="shared" si="15"/>
        <v>0</v>
      </c>
      <c r="K64" s="18">
        <f t="shared" si="15"/>
        <v>0</v>
      </c>
      <c r="L64" s="18">
        <f t="shared" si="15"/>
        <v>0</v>
      </c>
    </row>
    <row r="65" spans="1:12" x14ac:dyDescent="0.25">
      <c r="A65" s="9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s="1" customFormat="1" x14ac:dyDescent="0.25">
      <c r="A66" s="6">
        <v>6</v>
      </c>
      <c r="B66" s="7" t="s">
        <v>20</v>
      </c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5">
      <c r="A67" s="9"/>
      <c r="B67" s="10" t="s">
        <v>587</v>
      </c>
      <c r="C67" s="11"/>
      <c r="D67" s="11"/>
      <c r="E67" s="11"/>
      <c r="F67" s="11">
        <f>D67-E67</f>
        <v>0</v>
      </c>
      <c r="G67" s="485">
        <f t="shared" ref="G67:G71" si="16">K67+H67-L67</f>
        <v>0</v>
      </c>
      <c r="H67" s="11">
        <f>C67-E67</f>
        <v>0</v>
      </c>
      <c r="I67" s="11"/>
      <c r="J67" s="11">
        <f>F67+I67</f>
        <v>0</v>
      </c>
      <c r="K67" s="11"/>
      <c r="L67" s="11"/>
    </row>
    <row r="68" spans="1:12" x14ac:dyDescent="0.25">
      <c r="A68" s="9"/>
      <c r="B68" s="10" t="s">
        <v>588</v>
      </c>
      <c r="C68" s="11">
        <v>57800000</v>
      </c>
      <c r="D68" s="11"/>
      <c r="E68" s="11"/>
      <c r="F68" s="11">
        <f>D68-E68</f>
        <v>0</v>
      </c>
      <c r="G68" s="485">
        <f t="shared" si="16"/>
        <v>57800000</v>
      </c>
      <c r="H68" s="11">
        <f>C68-E68</f>
        <v>57800000</v>
      </c>
      <c r="I68" s="11"/>
      <c r="J68" s="11">
        <f>F68+I68</f>
        <v>0</v>
      </c>
      <c r="K68" s="11"/>
      <c r="L68" s="11"/>
    </row>
    <row r="69" spans="1:12" x14ac:dyDescent="0.25">
      <c r="A69" s="9"/>
      <c r="B69" s="10" t="s">
        <v>589</v>
      </c>
      <c r="C69" s="11"/>
      <c r="D69" s="11"/>
      <c r="E69" s="11"/>
      <c r="F69" s="11">
        <f>D69-E69</f>
        <v>0</v>
      </c>
      <c r="G69" s="485">
        <f t="shared" si="16"/>
        <v>0</v>
      </c>
      <c r="H69" s="11">
        <f>C69-E69</f>
        <v>0</v>
      </c>
      <c r="I69" s="11"/>
      <c r="J69" s="11">
        <f>F69+I69</f>
        <v>0</v>
      </c>
      <c r="K69" s="11"/>
      <c r="L69" s="11"/>
    </row>
    <row r="70" spans="1:12" x14ac:dyDescent="0.25">
      <c r="A70" s="9"/>
      <c r="B70" s="10" t="s">
        <v>590</v>
      </c>
      <c r="C70" s="485">
        <v>1970000</v>
      </c>
      <c r="D70" s="11"/>
      <c r="E70" s="11"/>
      <c r="F70" s="11">
        <f>D70-E70</f>
        <v>0</v>
      </c>
      <c r="G70" s="485">
        <f t="shared" si="16"/>
        <v>2424000</v>
      </c>
      <c r="H70" s="11">
        <f>C70-E70</f>
        <v>1970000</v>
      </c>
      <c r="I70" s="11"/>
      <c r="J70" s="11">
        <f>F70+I70</f>
        <v>0</v>
      </c>
      <c r="K70" s="11">
        <v>454000</v>
      </c>
      <c r="L70" s="11">
        <v>0</v>
      </c>
    </row>
    <row r="71" spans="1:12" x14ac:dyDescent="0.25">
      <c r="A71" s="9"/>
      <c r="B71" s="10" t="s">
        <v>591</v>
      </c>
      <c r="C71" s="11"/>
      <c r="D71" s="11"/>
      <c r="E71" s="11"/>
      <c r="F71" s="11">
        <f>D71-E71</f>
        <v>0</v>
      </c>
      <c r="G71" s="485">
        <f t="shared" si="16"/>
        <v>0</v>
      </c>
      <c r="H71" s="11">
        <f>C71-E71</f>
        <v>0</v>
      </c>
      <c r="I71" s="11"/>
      <c r="J71" s="11">
        <f>F71+I71</f>
        <v>0</v>
      </c>
      <c r="K71" s="11"/>
      <c r="L71" s="11"/>
    </row>
    <row r="72" spans="1:12" s="2" customFormat="1" x14ac:dyDescent="0.25">
      <c r="A72" s="6"/>
      <c r="B72" s="6" t="s">
        <v>29</v>
      </c>
      <c r="C72" s="18">
        <f>SUM(C67:C71)</f>
        <v>59770000</v>
      </c>
      <c r="D72" s="18">
        <f t="shared" ref="D72:L72" si="17">SUM(D67:D71)</f>
        <v>0</v>
      </c>
      <c r="E72" s="18">
        <f t="shared" si="17"/>
        <v>0</v>
      </c>
      <c r="F72" s="18">
        <f t="shared" si="17"/>
        <v>0</v>
      </c>
      <c r="G72" s="18">
        <f>SUM(G67:G71)</f>
        <v>60224000</v>
      </c>
      <c r="H72" s="18">
        <f t="shared" si="17"/>
        <v>59770000</v>
      </c>
      <c r="I72" s="18">
        <f t="shared" si="17"/>
        <v>0</v>
      </c>
      <c r="J72" s="18">
        <f t="shared" si="17"/>
        <v>0</v>
      </c>
      <c r="K72" s="18">
        <f t="shared" si="17"/>
        <v>454000</v>
      </c>
      <c r="L72" s="18">
        <f t="shared" si="17"/>
        <v>0</v>
      </c>
    </row>
    <row r="73" spans="1:12" s="2" customFormat="1" x14ac:dyDescent="0.25">
      <c r="A73" s="6"/>
      <c r="B73" s="6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s="2" customFormat="1" x14ac:dyDescent="0.25">
      <c r="A74" s="6">
        <v>7</v>
      </c>
      <c r="B74" s="7" t="s">
        <v>80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s="44" customFormat="1" x14ac:dyDescent="0.25">
      <c r="A75" s="28"/>
      <c r="B75" s="19" t="s">
        <v>592</v>
      </c>
      <c r="C75" s="43">
        <v>3357332281</v>
      </c>
      <c r="D75" s="221"/>
      <c r="E75" s="221"/>
      <c r="F75" s="11">
        <f t="shared" ref="F75:F80" si="18">D75-E75</f>
        <v>0</v>
      </c>
      <c r="G75" s="485">
        <f t="shared" ref="G75:G80" si="19">K75+H75-L75</f>
        <v>3357332281</v>
      </c>
      <c r="H75" s="11">
        <f t="shared" ref="H75:H80" si="20">C75-E75</f>
        <v>3357332281</v>
      </c>
      <c r="I75" s="11"/>
      <c r="J75" s="11">
        <f t="shared" ref="J75:J80" si="21">F75+I75</f>
        <v>0</v>
      </c>
      <c r="K75" s="221"/>
      <c r="L75" s="221"/>
    </row>
    <row r="76" spans="1:12" s="222" customFormat="1" x14ac:dyDescent="0.25">
      <c r="A76" s="218"/>
      <c r="B76" s="208" t="s">
        <v>593</v>
      </c>
      <c r="C76" s="221">
        <v>2410462672</v>
      </c>
      <c r="D76" s="221"/>
      <c r="E76" s="221"/>
      <c r="F76" s="11">
        <f t="shared" si="18"/>
        <v>0</v>
      </c>
      <c r="G76" s="485">
        <f t="shared" si="19"/>
        <v>2410462672</v>
      </c>
      <c r="H76" s="11">
        <f t="shared" si="20"/>
        <v>2410462672</v>
      </c>
      <c r="I76" s="11"/>
      <c r="J76" s="11">
        <f t="shared" si="21"/>
        <v>0</v>
      </c>
      <c r="K76" s="221"/>
      <c r="L76" s="221"/>
    </row>
    <row r="77" spans="1:12" s="222" customFormat="1" x14ac:dyDescent="0.25">
      <c r="A77" s="218"/>
      <c r="B77" s="208" t="s">
        <v>594</v>
      </c>
      <c r="C77" s="221">
        <v>7544428319</v>
      </c>
      <c r="D77" s="221"/>
      <c r="E77" s="221"/>
      <c r="F77" s="11">
        <f t="shared" si="18"/>
        <v>0</v>
      </c>
      <c r="G77" s="485">
        <f t="shared" si="19"/>
        <v>7544428319</v>
      </c>
      <c r="H77" s="11">
        <f t="shared" si="20"/>
        <v>7544428319</v>
      </c>
      <c r="I77" s="11"/>
      <c r="J77" s="11">
        <f t="shared" si="21"/>
        <v>0</v>
      </c>
      <c r="K77" s="221"/>
      <c r="L77" s="221"/>
    </row>
    <row r="78" spans="1:12" s="44" customFormat="1" x14ac:dyDescent="0.25">
      <c r="A78" s="28"/>
      <c r="B78" s="19" t="s">
        <v>595</v>
      </c>
      <c r="C78" s="483"/>
      <c r="D78" s="221"/>
      <c r="E78" s="221"/>
      <c r="F78" s="11">
        <f t="shared" si="18"/>
        <v>0</v>
      </c>
      <c r="G78" s="485">
        <f t="shared" si="19"/>
        <v>0</v>
      </c>
      <c r="H78" s="11">
        <f t="shared" si="20"/>
        <v>0</v>
      </c>
      <c r="I78" s="11"/>
      <c r="J78" s="11">
        <f t="shared" si="21"/>
        <v>0</v>
      </c>
      <c r="K78" s="221"/>
      <c r="L78" s="221"/>
    </row>
    <row r="79" spans="1:12" s="44" customFormat="1" x14ac:dyDescent="0.25">
      <c r="A79" s="28"/>
      <c r="B79" s="19" t="s">
        <v>596</v>
      </c>
      <c r="C79" s="43"/>
      <c r="D79" s="221"/>
      <c r="E79" s="221"/>
      <c r="F79" s="11">
        <f t="shared" si="18"/>
        <v>0</v>
      </c>
      <c r="G79" s="485">
        <f t="shared" si="19"/>
        <v>0</v>
      </c>
      <c r="H79" s="11">
        <f t="shared" si="20"/>
        <v>0</v>
      </c>
      <c r="I79" s="11"/>
      <c r="J79" s="11">
        <f t="shared" si="21"/>
        <v>0</v>
      </c>
      <c r="K79" s="221"/>
      <c r="L79" s="221"/>
    </row>
    <row r="80" spans="1:12" s="44" customFormat="1" x14ac:dyDescent="0.25">
      <c r="A80" s="28"/>
      <c r="B80" s="19" t="s">
        <v>597</v>
      </c>
      <c r="C80" s="43">
        <v>599633678</v>
      </c>
      <c r="D80" s="221"/>
      <c r="E80" s="221"/>
      <c r="F80" s="11">
        <f t="shared" si="18"/>
        <v>0</v>
      </c>
      <c r="G80" s="485">
        <f t="shared" si="19"/>
        <v>599633678</v>
      </c>
      <c r="H80" s="11">
        <f t="shared" si="20"/>
        <v>599633678</v>
      </c>
      <c r="I80" s="11"/>
      <c r="J80" s="11">
        <f t="shared" si="21"/>
        <v>0</v>
      </c>
      <c r="K80" s="221"/>
      <c r="L80" s="221"/>
    </row>
    <row r="81" spans="1:14" s="2" customFormat="1" x14ac:dyDescent="0.25">
      <c r="A81" s="6"/>
      <c r="B81" s="6" t="s">
        <v>29</v>
      </c>
      <c r="C81" s="18">
        <f>SUM(C75:C80)</f>
        <v>13911856950</v>
      </c>
      <c r="D81" s="18">
        <f t="shared" ref="D81:L81" si="22">SUM(D75:D80)</f>
        <v>0</v>
      </c>
      <c r="E81" s="18">
        <f t="shared" si="22"/>
        <v>0</v>
      </c>
      <c r="F81" s="18">
        <f t="shared" si="22"/>
        <v>0</v>
      </c>
      <c r="G81" s="18">
        <f>SUM(G75:G80)</f>
        <v>13911856950</v>
      </c>
      <c r="H81" s="18">
        <f t="shared" si="22"/>
        <v>13911856950</v>
      </c>
      <c r="I81" s="18">
        <f t="shared" si="22"/>
        <v>0</v>
      </c>
      <c r="J81" s="18">
        <f t="shared" si="22"/>
        <v>0</v>
      </c>
      <c r="K81" s="18">
        <f t="shared" si="22"/>
        <v>0</v>
      </c>
      <c r="L81" s="18">
        <f t="shared" si="22"/>
        <v>0</v>
      </c>
      <c r="M81" s="194"/>
      <c r="N81" s="194"/>
    </row>
    <row r="82" spans="1:14" s="2" customFormat="1" x14ac:dyDescent="0.25">
      <c r="A82" s="6"/>
      <c r="B82" s="6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4" s="2" customFormat="1" x14ac:dyDescent="0.25">
      <c r="A83" s="6">
        <v>8</v>
      </c>
      <c r="B83" s="7" t="s">
        <v>612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4" s="2" customFormat="1" ht="30" x14ac:dyDescent="0.25">
      <c r="A84" s="6"/>
      <c r="B84" s="12" t="s">
        <v>613</v>
      </c>
      <c r="C84" s="18"/>
      <c r="D84" s="18"/>
      <c r="E84" s="18"/>
      <c r="F84" s="11">
        <f>D84-E84</f>
        <v>0</v>
      </c>
      <c r="G84" s="485">
        <f t="shared" ref="G84" si="23">K84+H84-L84</f>
        <v>0</v>
      </c>
      <c r="H84" s="11">
        <f>C84-E84</f>
        <v>0</v>
      </c>
      <c r="I84" s="11"/>
      <c r="J84" s="11">
        <f>F84+I84</f>
        <v>0</v>
      </c>
      <c r="K84" s="18"/>
      <c r="L84" s="18"/>
    </row>
    <row r="85" spans="1:14" s="2" customFormat="1" x14ac:dyDescent="0.25">
      <c r="A85" s="6"/>
      <c r="B85" s="6" t="s">
        <v>29</v>
      </c>
      <c r="C85" s="18">
        <f>SUM(C84)</f>
        <v>0</v>
      </c>
      <c r="D85" s="18">
        <f t="shared" ref="D85:L85" si="24">SUM(D84)</f>
        <v>0</v>
      </c>
      <c r="E85" s="18">
        <f t="shared" si="24"/>
        <v>0</v>
      </c>
      <c r="F85" s="18">
        <f t="shared" si="24"/>
        <v>0</v>
      </c>
      <c r="G85" s="18">
        <f>SUM(G84)</f>
        <v>0</v>
      </c>
      <c r="H85" s="18">
        <f t="shared" si="24"/>
        <v>0</v>
      </c>
      <c r="I85" s="18">
        <f t="shared" si="24"/>
        <v>0</v>
      </c>
      <c r="J85" s="18">
        <f t="shared" si="24"/>
        <v>0</v>
      </c>
      <c r="K85" s="18">
        <f t="shared" si="24"/>
        <v>0</v>
      </c>
      <c r="L85" s="18">
        <f t="shared" si="24"/>
        <v>0</v>
      </c>
    </row>
    <row r="86" spans="1:14" s="2" customFormat="1" x14ac:dyDescent="0.25">
      <c r="A86" s="6"/>
      <c r="B86" s="6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4" s="2" customFormat="1" x14ac:dyDescent="0.25">
      <c r="A87" s="6">
        <v>9</v>
      </c>
      <c r="B87" s="7" t="s">
        <v>614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4" s="2" customFormat="1" x14ac:dyDescent="0.25">
      <c r="A88" s="6"/>
      <c r="B88" s="12" t="s">
        <v>615</v>
      </c>
      <c r="C88" s="372">
        <v>315500000</v>
      </c>
      <c r="D88" s="18"/>
      <c r="E88" s="18"/>
      <c r="F88" s="11">
        <f>D88-E88</f>
        <v>0</v>
      </c>
      <c r="G88" s="485">
        <f t="shared" ref="G88:G89" si="25">K88+H88-L88</f>
        <v>315500000</v>
      </c>
      <c r="H88" s="11">
        <f>C88-E88</f>
        <v>315500000</v>
      </c>
      <c r="I88" s="11"/>
      <c r="J88" s="11">
        <f>F88+I88</f>
        <v>0</v>
      </c>
      <c r="K88" s="18"/>
      <c r="L88" s="18"/>
    </row>
    <row r="89" spans="1:14" s="2" customFormat="1" x14ac:dyDescent="0.25">
      <c r="A89" s="6"/>
      <c r="B89" s="12" t="s">
        <v>616</v>
      </c>
      <c r="C89" s="372">
        <v>42500000</v>
      </c>
      <c r="D89" s="18"/>
      <c r="E89" s="18"/>
      <c r="F89" s="11">
        <f>D89-E89</f>
        <v>0</v>
      </c>
      <c r="G89" s="485">
        <f t="shared" si="25"/>
        <v>42500000</v>
      </c>
      <c r="H89" s="11">
        <f>C89-E89</f>
        <v>42500000</v>
      </c>
      <c r="I89" s="11"/>
      <c r="J89" s="11">
        <f>F89+I89</f>
        <v>0</v>
      </c>
      <c r="K89" s="18"/>
      <c r="L89" s="18"/>
    </row>
    <row r="90" spans="1:14" s="2" customFormat="1" x14ac:dyDescent="0.25">
      <c r="A90" s="6"/>
      <c r="B90" s="6" t="s">
        <v>29</v>
      </c>
      <c r="C90" s="18">
        <f>SUM(C88:C89)</f>
        <v>358000000</v>
      </c>
      <c r="D90" s="18">
        <f t="shared" ref="D90:L90" si="26">SUM(D88:D89)</f>
        <v>0</v>
      </c>
      <c r="E90" s="18">
        <f t="shared" si="26"/>
        <v>0</v>
      </c>
      <c r="F90" s="18">
        <f t="shared" si="26"/>
        <v>0</v>
      </c>
      <c r="G90" s="18">
        <f>SUM(G88:G89)</f>
        <v>358000000</v>
      </c>
      <c r="H90" s="18">
        <f t="shared" si="26"/>
        <v>358000000</v>
      </c>
      <c r="I90" s="18">
        <f t="shared" si="26"/>
        <v>0</v>
      </c>
      <c r="J90" s="18">
        <f t="shared" si="26"/>
        <v>0</v>
      </c>
      <c r="K90" s="18">
        <f t="shared" si="26"/>
        <v>0</v>
      </c>
      <c r="L90" s="18">
        <f t="shared" si="26"/>
        <v>0</v>
      </c>
    </row>
    <row r="91" spans="1:14" s="2" customFormat="1" x14ac:dyDescent="0.25">
      <c r="A91" s="6"/>
      <c r="B91" s="6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4" s="1" customFormat="1" x14ac:dyDescent="0.25">
      <c r="A92" s="6">
        <v>10</v>
      </c>
      <c r="B92" s="7" t="s">
        <v>609</v>
      </c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4" ht="30" x14ac:dyDescent="0.25">
      <c r="A93" s="9"/>
      <c r="B93" s="12" t="s">
        <v>601</v>
      </c>
      <c r="C93" s="11"/>
      <c r="D93" s="11"/>
      <c r="E93" s="11"/>
      <c r="F93" s="11">
        <f t="shared" ref="F93:F100" si="27">D93-E93</f>
        <v>0</v>
      </c>
      <c r="G93" s="485">
        <f t="shared" ref="G93:G100" si="28">K93+H93-L93</f>
        <v>0</v>
      </c>
      <c r="H93" s="11">
        <f t="shared" ref="H93:H100" si="29">C93-E93</f>
        <v>0</v>
      </c>
      <c r="I93" s="11"/>
      <c r="J93" s="11">
        <f t="shared" ref="J93:J100" si="30">F93+I93</f>
        <v>0</v>
      </c>
      <c r="K93" s="11"/>
      <c r="L93" s="11"/>
    </row>
    <row r="94" spans="1:14" ht="27.75" customHeight="1" x14ac:dyDescent="0.25">
      <c r="A94" s="9"/>
      <c r="B94" s="12" t="s">
        <v>602</v>
      </c>
      <c r="C94" s="11"/>
      <c r="D94" s="11"/>
      <c r="E94" s="11"/>
      <c r="F94" s="11">
        <f t="shared" si="27"/>
        <v>0</v>
      </c>
      <c r="G94" s="485">
        <f t="shared" si="28"/>
        <v>0</v>
      </c>
      <c r="H94" s="11">
        <f t="shared" si="29"/>
        <v>0</v>
      </c>
      <c r="I94" s="11"/>
      <c r="J94" s="11">
        <f t="shared" si="30"/>
        <v>0</v>
      </c>
      <c r="K94" s="11"/>
      <c r="L94" s="11"/>
    </row>
    <row r="95" spans="1:14" ht="30" customHeight="1" x14ac:dyDescent="0.25">
      <c r="A95" s="9"/>
      <c r="B95" s="12" t="s">
        <v>603</v>
      </c>
      <c r="C95" s="11"/>
      <c r="D95" s="11"/>
      <c r="E95" s="11"/>
      <c r="F95" s="11">
        <f t="shared" si="27"/>
        <v>0</v>
      </c>
      <c r="G95" s="485">
        <f t="shared" si="28"/>
        <v>0</v>
      </c>
      <c r="H95" s="11">
        <f t="shared" si="29"/>
        <v>0</v>
      </c>
      <c r="I95" s="11"/>
      <c r="J95" s="11">
        <f t="shared" si="30"/>
        <v>0</v>
      </c>
      <c r="K95" s="11"/>
      <c r="L95" s="11"/>
    </row>
    <row r="96" spans="1:14" ht="30" x14ac:dyDescent="0.25">
      <c r="A96" s="9"/>
      <c r="B96" s="12" t="s">
        <v>604</v>
      </c>
      <c r="C96" s="11"/>
      <c r="D96" s="11"/>
      <c r="E96" s="11"/>
      <c r="F96" s="11">
        <f t="shared" si="27"/>
        <v>0</v>
      </c>
      <c r="G96" s="485">
        <f t="shared" si="28"/>
        <v>0</v>
      </c>
      <c r="H96" s="11">
        <f t="shared" si="29"/>
        <v>0</v>
      </c>
      <c r="I96" s="11"/>
      <c r="J96" s="11">
        <f t="shared" si="30"/>
        <v>0</v>
      </c>
      <c r="K96" s="11"/>
      <c r="L96" s="11"/>
    </row>
    <row r="97" spans="1:12" ht="32.25" customHeight="1" x14ac:dyDescent="0.25">
      <c r="A97" s="9"/>
      <c r="B97" s="12" t="s">
        <v>605</v>
      </c>
      <c r="C97" s="11"/>
      <c r="D97" s="11"/>
      <c r="E97" s="11"/>
      <c r="F97" s="11">
        <f t="shared" si="27"/>
        <v>0</v>
      </c>
      <c r="G97" s="485">
        <f t="shared" si="28"/>
        <v>0</v>
      </c>
      <c r="H97" s="11">
        <f t="shared" si="29"/>
        <v>0</v>
      </c>
      <c r="I97" s="11"/>
      <c r="J97" s="11">
        <f t="shared" si="30"/>
        <v>0</v>
      </c>
      <c r="K97" s="11"/>
      <c r="L97" s="11"/>
    </row>
    <row r="98" spans="1:12" ht="27.75" customHeight="1" x14ac:dyDescent="0.25">
      <c r="A98" s="9"/>
      <c r="B98" s="12" t="s">
        <v>606</v>
      </c>
      <c r="C98" s="11"/>
      <c r="D98" s="11"/>
      <c r="E98" s="11"/>
      <c r="F98" s="11">
        <f t="shared" si="27"/>
        <v>0</v>
      </c>
      <c r="G98" s="485">
        <f t="shared" si="28"/>
        <v>0</v>
      </c>
      <c r="H98" s="11">
        <f t="shared" si="29"/>
        <v>0</v>
      </c>
      <c r="I98" s="11"/>
      <c r="J98" s="11">
        <f t="shared" si="30"/>
        <v>0</v>
      </c>
      <c r="K98" s="11"/>
      <c r="L98" s="11"/>
    </row>
    <row r="99" spans="1:12" ht="30" x14ac:dyDescent="0.25">
      <c r="A99" s="9"/>
      <c r="B99" s="12" t="s">
        <v>607</v>
      </c>
      <c r="C99" s="11"/>
      <c r="D99" s="11"/>
      <c r="E99" s="11"/>
      <c r="F99" s="11">
        <f t="shared" si="27"/>
        <v>0</v>
      </c>
      <c r="G99" s="485">
        <f t="shared" si="28"/>
        <v>0</v>
      </c>
      <c r="H99" s="11">
        <f t="shared" si="29"/>
        <v>0</v>
      </c>
      <c r="I99" s="11"/>
      <c r="J99" s="11">
        <f t="shared" si="30"/>
        <v>0</v>
      </c>
      <c r="K99" s="11"/>
      <c r="L99" s="11"/>
    </row>
    <row r="100" spans="1:12" ht="30" x14ac:dyDescent="0.25">
      <c r="A100" s="9"/>
      <c r="B100" s="12" t="s">
        <v>608</v>
      </c>
      <c r="C100" s="11"/>
      <c r="D100" s="11"/>
      <c r="E100" s="11"/>
      <c r="F100" s="11">
        <f t="shared" si="27"/>
        <v>0</v>
      </c>
      <c r="G100" s="485">
        <f t="shared" si="28"/>
        <v>0</v>
      </c>
      <c r="H100" s="11">
        <f t="shared" si="29"/>
        <v>0</v>
      </c>
      <c r="I100" s="11"/>
      <c r="J100" s="11">
        <f t="shared" si="30"/>
        <v>0</v>
      </c>
      <c r="K100" s="11"/>
      <c r="L100" s="11"/>
    </row>
    <row r="101" spans="1:12" s="1" customFormat="1" x14ac:dyDescent="0.25">
      <c r="A101" s="6"/>
      <c r="B101" s="6" t="s">
        <v>29</v>
      </c>
      <c r="C101" s="8">
        <f>SUM(C93:C100)</f>
        <v>0</v>
      </c>
      <c r="D101" s="8">
        <f t="shared" ref="D101:L101" si="31">SUM(D93:D100)</f>
        <v>0</v>
      </c>
      <c r="E101" s="8">
        <f t="shared" si="31"/>
        <v>0</v>
      </c>
      <c r="F101" s="8">
        <f t="shared" si="31"/>
        <v>0</v>
      </c>
      <c r="G101" s="8">
        <f>SUM(G93:G100)</f>
        <v>0</v>
      </c>
      <c r="H101" s="8">
        <f t="shared" si="31"/>
        <v>0</v>
      </c>
      <c r="I101" s="8">
        <f t="shared" si="31"/>
        <v>0</v>
      </c>
      <c r="J101" s="8">
        <f t="shared" si="31"/>
        <v>0</v>
      </c>
      <c r="K101" s="8">
        <f t="shared" si="31"/>
        <v>0</v>
      </c>
      <c r="L101" s="8">
        <f t="shared" si="31"/>
        <v>0</v>
      </c>
    </row>
    <row r="102" spans="1:12" s="1" customFormat="1" x14ac:dyDescent="0.25">
      <c r="A102" s="6"/>
      <c r="B102" s="6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s="1" customFormat="1" x14ac:dyDescent="0.25">
      <c r="A103" s="6">
        <v>11</v>
      </c>
      <c r="B103" s="7" t="s">
        <v>610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s="1" customFormat="1" x14ac:dyDescent="0.25">
      <c r="A104" s="6"/>
      <c r="B104" s="220" t="s">
        <v>611</v>
      </c>
      <c r="C104" s="8"/>
      <c r="D104" s="8"/>
      <c r="E104" s="8"/>
      <c r="F104" s="11">
        <f>D104-E104</f>
        <v>0</v>
      </c>
      <c r="G104" s="485">
        <f t="shared" ref="G104" si="32">K104+H104-L104</f>
        <v>0</v>
      </c>
      <c r="H104" s="11">
        <f>C104-E104</f>
        <v>0</v>
      </c>
      <c r="I104" s="11"/>
      <c r="J104" s="11">
        <f>F104+I104</f>
        <v>0</v>
      </c>
      <c r="K104" s="8"/>
      <c r="L104" s="8"/>
    </row>
    <row r="105" spans="1:12" s="1" customFormat="1" x14ac:dyDescent="0.25">
      <c r="A105" s="6"/>
      <c r="B105" s="6" t="s">
        <v>29</v>
      </c>
      <c r="C105" s="8">
        <f>SUM(C104)</f>
        <v>0</v>
      </c>
      <c r="D105" s="8">
        <f t="shared" ref="D105:L105" si="33">SUM(D104)</f>
        <v>0</v>
      </c>
      <c r="E105" s="8">
        <f t="shared" si="33"/>
        <v>0</v>
      </c>
      <c r="F105" s="8">
        <f t="shared" si="33"/>
        <v>0</v>
      </c>
      <c r="G105" s="8">
        <f>SUM(G104)</f>
        <v>0</v>
      </c>
      <c r="H105" s="8">
        <f t="shared" si="33"/>
        <v>0</v>
      </c>
      <c r="I105" s="8">
        <f t="shared" si="33"/>
        <v>0</v>
      </c>
      <c r="J105" s="8">
        <f t="shared" si="33"/>
        <v>0</v>
      </c>
      <c r="K105" s="8">
        <f t="shared" si="33"/>
        <v>0</v>
      </c>
      <c r="L105" s="8">
        <f t="shared" si="33"/>
        <v>0</v>
      </c>
    </row>
    <row r="106" spans="1:12" x14ac:dyDescent="0.25">
      <c r="A106" s="9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s="1" customFormat="1" x14ac:dyDescent="0.25">
      <c r="A107" s="6">
        <v>12</v>
      </c>
      <c r="B107" s="42" t="s">
        <v>106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25">
      <c r="A108" s="9"/>
      <c r="B108" s="12" t="s">
        <v>168</v>
      </c>
      <c r="C108" s="11"/>
      <c r="D108" s="11"/>
      <c r="E108" s="11"/>
      <c r="F108" s="11">
        <f t="shared" ref="F108:F118" si="34">D108-E108</f>
        <v>0</v>
      </c>
      <c r="G108" s="485">
        <f t="shared" ref="G108:G118" si="35">K108+H108-L108</f>
        <v>0</v>
      </c>
      <c r="H108" s="492">
        <f t="shared" ref="H108:H118" si="36">C108-E108</f>
        <v>0</v>
      </c>
      <c r="I108" s="11"/>
      <c r="J108" s="11">
        <f t="shared" ref="J108:J118" si="37">F108+I108</f>
        <v>0</v>
      </c>
      <c r="K108" s="11"/>
      <c r="L108" s="11"/>
    </row>
    <row r="109" spans="1:12" x14ac:dyDescent="0.25">
      <c r="A109" s="9"/>
      <c r="B109" s="12" t="s">
        <v>169</v>
      </c>
      <c r="C109" s="11"/>
      <c r="D109" s="11"/>
      <c r="E109" s="11"/>
      <c r="F109" s="11">
        <f t="shared" si="34"/>
        <v>0</v>
      </c>
      <c r="G109" s="485">
        <f t="shared" si="35"/>
        <v>0</v>
      </c>
      <c r="H109" s="492">
        <f t="shared" si="36"/>
        <v>0</v>
      </c>
      <c r="I109" s="11"/>
      <c r="J109" s="11">
        <f t="shared" si="37"/>
        <v>0</v>
      </c>
      <c r="K109" s="11"/>
      <c r="L109" s="11"/>
    </row>
    <row r="110" spans="1:12" x14ac:dyDescent="0.25">
      <c r="A110" s="9"/>
      <c r="B110" s="12" t="s">
        <v>170</v>
      </c>
      <c r="C110" s="245"/>
      <c r="D110" s="11"/>
      <c r="E110" s="11"/>
      <c r="F110" s="11">
        <f t="shared" si="34"/>
        <v>0</v>
      </c>
      <c r="G110" s="485">
        <f t="shared" si="35"/>
        <v>0</v>
      </c>
      <c r="H110" s="492">
        <f t="shared" si="36"/>
        <v>0</v>
      </c>
      <c r="I110" s="11"/>
      <c r="J110" s="11">
        <f t="shared" si="37"/>
        <v>0</v>
      </c>
      <c r="K110" s="11"/>
      <c r="L110" s="11"/>
    </row>
    <row r="111" spans="1:12" x14ac:dyDescent="0.25">
      <c r="A111" s="9"/>
      <c r="B111" s="12" t="s">
        <v>171</v>
      </c>
      <c r="C111" s="11"/>
      <c r="D111" s="11"/>
      <c r="E111" s="11"/>
      <c r="F111" s="11">
        <f t="shared" si="34"/>
        <v>0</v>
      </c>
      <c r="G111" s="485">
        <f t="shared" si="35"/>
        <v>0</v>
      </c>
      <c r="H111" s="492">
        <f t="shared" si="36"/>
        <v>0</v>
      </c>
      <c r="I111" s="11"/>
      <c r="J111" s="11">
        <f t="shared" si="37"/>
        <v>0</v>
      </c>
      <c r="K111" s="11"/>
      <c r="L111" s="11"/>
    </row>
    <row r="112" spans="1:12" x14ac:dyDescent="0.25">
      <c r="A112" s="9"/>
      <c r="B112" s="12" t="s">
        <v>172</v>
      </c>
      <c r="C112" s="11"/>
      <c r="D112" s="11"/>
      <c r="E112" s="11"/>
      <c r="F112" s="11">
        <f t="shared" si="34"/>
        <v>0</v>
      </c>
      <c r="G112" s="485">
        <f t="shared" si="35"/>
        <v>0</v>
      </c>
      <c r="H112" s="11">
        <f t="shared" si="36"/>
        <v>0</v>
      </c>
      <c r="I112" s="11"/>
      <c r="J112" s="11">
        <f t="shared" si="37"/>
        <v>0</v>
      </c>
      <c r="K112" s="11"/>
      <c r="L112" s="11"/>
    </row>
    <row r="113" spans="1:12" x14ac:dyDescent="0.25">
      <c r="A113" s="9"/>
      <c r="B113" s="12" t="s">
        <v>173</v>
      </c>
      <c r="C113" s="11"/>
      <c r="D113" s="11"/>
      <c r="E113" s="11"/>
      <c r="F113" s="11">
        <f t="shared" si="34"/>
        <v>0</v>
      </c>
      <c r="G113" s="485">
        <f t="shared" si="35"/>
        <v>0</v>
      </c>
      <c r="H113" s="11">
        <f t="shared" si="36"/>
        <v>0</v>
      </c>
      <c r="I113" s="11"/>
      <c r="J113" s="11">
        <f t="shared" si="37"/>
        <v>0</v>
      </c>
      <c r="K113" s="11"/>
      <c r="L113" s="11"/>
    </row>
    <row r="114" spans="1:12" x14ac:dyDescent="0.25">
      <c r="A114" s="9"/>
      <c r="B114" s="12" t="s">
        <v>174</v>
      </c>
      <c r="C114" s="11"/>
      <c r="D114" s="11"/>
      <c r="E114" s="11"/>
      <c r="F114" s="11">
        <f t="shared" si="34"/>
        <v>0</v>
      </c>
      <c r="G114" s="485">
        <f t="shared" si="35"/>
        <v>0</v>
      </c>
      <c r="H114" s="11">
        <f t="shared" si="36"/>
        <v>0</v>
      </c>
      <c r="I114" s="11"/>
      <c r="J114" s="11">
        <f t="shared" si="37"/>
        <v>0</v>
      </c>
      <c r="K114" s="11"/>
      <c r="L114" s="11"/>
    </row>
    <row r="115" spans="1:12" x14ac:dyDescent="0.25">
      <c r="A115" s="9"/>
      <c r="B115" s="12" t="s">
        <v>629</v>
      </c>
      <c r="C115" s="11"/>
      <c r="D115" s="11"/>
      <c r="E115" s="11"/>
      <c r="F115" s="11">
        <f t="shared" si="34"/>
        <v>0</v>
      </c>
      <c r="G115" s="485">
        <f t="shared" si="35"/>
        <v>0</v>
      </c>
      <c r="H115" s="11">
        <f t="shared" si="36"/>
        <v>0</v>
      </c>
      <c r="I115" s="11"/>
      <c r="J115" s="11">
        <f t="shared" si="37"/>
        <v>0</v>
      </c>
      <c r="K115" s="11"/>
      <c r="L115" s="11"/>
    </row>
    <row r="116" spans="1:12" x14ac:dyDescent="0.25">
      <c r="A116" s="9"/>
      <c r="B116" s="238" t="s">
        <v>52</v>
      </c>
      <c r="C116" s="11">
        <f>'LRA STLH KONVERSI (RINCI)'!E86</f>
        <v>67170000</v>
      </c>
      <c r="D116" s="11"/>
      <c r="E116" s="11"/>
      <c r="F116" s="11">
        <f t="shared" si="34"/>
        <v>0</v>
      </c>
      <c r="G116" s="485">
        <f t="shared" si="35"/>
        <v>67170000</v>
      </c>
      <c r="H116" s="11">
        <f t="shared" si="36"/>
        <v>67170000</v>
      </c>
      <c r="I116" s="11"/>
      <c r="J116" s="11">
        <f t="shared" si="37"/>
        <v>0</v>
      </c>
      <c r="K116" s="11"/>
      <c r="L116" s="11"/>
    </row>
    <row r="117" spans="1:12" x14ac:dyDescent="0.25">
      <c r="A117" s="9"/>
      <c r="B117" s="12" t="s">
        <v>628</v>
      </c>
      <c r="C117" s="11"/>
      <c r="D117" s="11"/>
      <c r="E117" s="11"/>
      <c r="F117" s="11">
        <f t="shared" si="34"/>
        <v>0</v>
      </c>
      <c r="G117" s="485">
        <f t="shared" si="35"/>
        <v>0</v>
      </c>
      <c r="H117" s="11">
        <f t="shared" si="36"/>
        <v>0</v>
      </c>
      <c r="I117" s="11"/>
      <c r="J117" s="11">
        <f t="shared" si="37"/>
        <v>0</v>
      </c>
      <c r="K117" s="11"/>
      <c r="L117" s="11"/>
    </row>
    <row r="118" spans="1:12" x14ac:dyDescent="0.25">
      <c r="A118" s="9"/>
      <c r="B118" s="12" t="s">
        <v>630</v>
      </c>
      <c r="C118" s="11"/>
      <c r="D118" s="11"/>
      <c r="E118" s="11"/>
      <c r="F118" s="11">
        <f t="shared" si="34"/>
        <v>0</v>
      </c>
      <c r="G118" s="485">
        <f t="shared" si="35"/>
        <v>0</v>
      </c>
      <c r="H118" s="11">
        <f t="shared" si="36"/>
        <v>0</v>
      </c>
      <c r="I118" s="11"/>
      <c r="J118" s="11">
        <f t="shared" si="37"/>
        <v>0</v>
      </c>
      <c r="K118" s="11"/>
      <c r="L118" s="11"/>
    </row>
    <row r="119" spans="1:12" x14ac:dyDescent="0.25">
      <c r="A119" s="9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x14ac:dyDescent="0.25">
      <c r="A120" s="9"/>
      <c r="B120" s="6" t="s">
        <v>29</v>
      </c>
      <c r="C120" s="11">
        <f>SUM(C108:C119)</f>
        <v>67170000</v>
      </c>
      <c r="D120" s="11">
        <f t="shared" ref="D120:L120" si="38">SUM(D108:D119)</f>
        <v>0</v>
      </c>
      <c r="E120" s="11">
        <f t="shared" si="38"/>
        <v>0</v>
      </c>
      <c r="F120" s="11">
        <f t="shared" si="38"/>
        <v>0</v>
      </c>
      <c r="G120" s="11">
        <f>SUM(G108:G119)</f>
        <v>67170000</v>
      </c>
      <c r="H120" s="11">
        <f t="shared" si="38"/>
        <v>67170000</v>
      </c>
      <c r="I120" s="11">
        <f t="shared" si="38"/>
        <v>0</v>
      </c>
      <c r="J120" s="11">
        <f t="shared" si="38"/>
        <v>0</v>
      </c>
      <c r="K120" s="11">
        <f t="shared" si="38"/>
        <v>0</v>
      </c>
      <c r="L120" s="11">
        <f t="shared" si="38"/>
        <v>0</v>
      </c>
    </row>
    <row r="121" spans="1:12" s="2" customFormat="1" x14ac:dyDescent="0.25">
      <c r="A121" s="6"/>
      <c r="B121" s="6" t="s">
        <v>28</v>
      </c>
      <c r="C121" s="18">
        <f>C120+C72+C64+C60+C52+C47+C28+C81+C101+C105+C90+C85</f>
        <v>23555148130</v>
      </c>
      <c r="D121" s="18">
        <f t="shared" ref="D121:L121" si="39">D120+D72+D64+D60+D52+D47+D28+D81+D101+D105+D90+D85</f>
        <v>0</v>
      </c>
      <c r="E121" s="18">
        <f t="shared" si="39"/>
        <v>0</v>
      </c>
      <c r="F121" s="18">
        <f t="shared" si="39"/>
        <v>0</v>
      </c>
      <c r="G121" s="493">
        <f>G120+G72+G64+G60+G52+G47+G28+G81+G101+G105+G90+G85</f>
        <v>23540716005</v>
      </c>
      <c r="H121" s="493">
        <f t="shared" si="39"/>
        <v>23555148130</v>
      </c>
      <c r="I121" s="18">
        <f t="shared" si="39"/>
        <v>0</v>
      </c>
      <c r="J121" s="18">
        <f t="shared" si="39"/>
        <v>0</v>
      </c>
      <c r="K121" s="18">
        <f t="shared" si="39"/>
        <v>47926228</v>
      </c>
      <c r="L121" s="18">
        <f t="shared" si="39"/>
        <v>62358353</v>
      </c>
    </row>
    <row r="122" spans="1:12" x14ac:dyDescent="0.25">
      <c r="C122" s="3">
        <f>+[9]Sheet1!$D$50</f>
        <v>6009708715</v>
      </c>
      <c r="K122" s="3">
        <v>47926228</v>
      </c>
      <c r="L122" s="160">
        <v>62358353</v>
      </c>
    </row>
    <row r="123" spans="1:12" x14ac:dyDescent="0.25">
      <c r="C123" s="3">
        <f>+[9]Sheet1!$D$64</f>
        <v>518256150</v>
      </c>
      <c r="K123" s="3">
        <f>+K121-K122</f>
        <v>0</v>
      </c>
      <c r="L123" s="3">
        <f>+L121-L122</f>
        <v>0</v>
      </c>
    </row>
    <row r="124" spans="1:12" x14ac:dyDescent="0.25">
      <c r="C124" s="3">
        <f>+[9]Sheet1!$D$96</f>
        <v>2362276315</v>
      </c>
    </row>
    <row r="125" spans="1:12" x14ac:dyDescent="0.25">
      <c r="C125" s="3">
        <f>+[9]Sheet1!$D$123</f>
        <v>19950000</v>
      </c>
    </row>
    <row r="126" spans="1:12" x14ac:dyDescent="0.25">
      <c r="C126" s="3">
        <v>248160000</v>
      </c>
    </row>
    <row r="127" spans="1:12" x14ac:dyDescent="0.25">
      <c r="C127" s="3">
        <v>59770000</v>
      </c>
    </row>
    <row r="128" spans="1:12" x14ac:dyDescent="0.25">
      <c r="C128" s="3">
        <v>13911856950</v>
      </c>
    </row>
    <row r="129" spans="3:3" x14ac:dyDescent="0.25">
      <c r="C129" s="3">
        <v>358000000</v>
      </c>
    </row>
    <row r="130" spans="3:3" x14ac:dyDescent="0.25">
      <c r="C130" s="3">
        <f>+SUM(C122:C129)</f>
        <v>23487978130</v>
      </c>
    </row>
    <row r="131" spans="3:3" x14ac:dyDescent="0.25">
      <c r="C131" s="3">
        <f>+C121-C130</f>
        <v>67170000</v>
      </c>
    </row>
  </sheetData>
  <sheetProtection algorithmName="SHA-512" hashValue="yhYgv0htVz+LpDQ9j93qaXDTT2peP1nOF+gt6JltwpfoXOyBAGqiBsxz+DVyYPI/NjxhXxVc8NarLha+vcA6Tw==" saltValue="MqLUwuEBJgtk+7aUezvDvg==" spinCount="100000" sheet="1" objects="1" scenarios="1"/>
  <mergeCells count="1">
    <mergeCell ref="A1:L1"/>
  </mergeCells>
  <printOptions horizontalCentered="1"/>
  <pageMargins left="0.31496062992125984" right="0.31496062992125984" top="0.74803149606299213" bottom="0.74803149606299213" header="0.31496062992125984" footer="0.31496062992125984"/>
  <pageSetup paperSize="258" scale="48" orientation="landscape" verticalDpi="1200" r:id="rId1"/>
  <rowBreaks count="1" manualBreakCount="1">
    <brk id="64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C000"/>
  </sheetPr>
  <dimension ref="A1:J59"/>
  <sheetViews>
    <sheetView view="pageBreakPreview" zoomScale="85" zoomScaleNormal="8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2" sqref="C42"/>
    </sheetView>
  </sheetViews>
  <sheetFormatPr defaultRowHeight="15" x14ac:dyDescent="0.25"/>
  <cols>
    <col min="1" max="1" width="3.85546875" style="5" bestFit="1" customWidth="1"/>
    <col min="2" max="2" width="62.85546875" customWidth="1"/>
    <col min="3" max="3" width="20.28515625" style="3" customWidth="1"/>
    <col min="4" max="4" width="23.28515625" style="3" customWidth="1"/>
    <col min="5" max="5" width="21.85546875" style="3" customWidth="1"/>
    <col min="6" max="10" width="22.7109375" customWidth="1"/>
  </cols>
  <sheetData>
    <row r="1" spans="1:10" s="17" customFormat="1" ht="21" x14ac:dyDescent="0.35">
      <c r="A1" s="847" t="s">
        <v>63</v>
      </c>
      <c r="B1" s="847"/>
      <c r="C1" s="847"/>
      <c r="D1" s="847"/>
      <c r="E1" s="847"/>
      <c r="F1" s="847"/>
      <c r="G1" s="847"/>
      <c r="H1" s="847"/>
      <c r="I1" s="847"/>
      <c r="J1" s="847"/>
    </row>
    <row r="3" spans="1:10" s="4" customFormat="1" ht="45" x14ac:dyDescent="0.25">
      <c r="A3" s="13" t="s">
        <v>22</v>
      </c>
      <c r="B3" s="13" t="s">
        <v>23</v>
      </c>
      <c r="C3" s="14" t="s">
        <v>25</v>
      </c>
      <c r="D3" s="85" t="s">
        <v>865</v>
      </c>
      <c r="E3" s="84" t="s">
        <v>624</v>
      </c>
      <c r="F3" s="85" t="s">
        <v>866</v>
      </c>
      <c r="G3" s="38" t="s">
        <v>867</v>
      </c>
      <c r="H3" s="38" t="s">
        <v>868</v>
      </c>
      <c r="I3" s="38" t="s">
        <v>869</v>
      </c>
      <c r="J3" s="15" t="s">
        <v>870</v>
      </c>
    </row>
    <row r="4" spans="1:10" s="4" customFormat="1" x14ac:dyDescent="0.25">
      <c r="A4" s="13">
        <v>1</v>
      </c>
      <c r="B4" s="13">
        <v>2</v>
      </c>
      <c r="C4" s="16">
        <v>3</v>
      </c>
      <c r="D4" s="86">
        <v>4</v>
      </c>
      <c r="E4" s="86">
        <v>5</v>
      </c>
      <c r="F4" s="86" t="s">
        <v>138</v>
      </c>
      <c r="G4" s="39">
        <v>7</v>
      </c>
      <c r="H4" s="39" t="s">
        <v>661</v>
      </c>
      <c r="I4" s="39" t="s">
        <v>632</v>
      </c>
      <c r="J4" s="16" t="s">
        <v>633</v>
      </c>
    </row>
    <row r="5" spans="1:10" s="1" customFormat="1" x14ac:dyDescent="0.25">
      <c r="A5" s="6">
        <v>1</v>
      </c>
      <c r="B5" s="7" t="s">
        <v>64</v>
      </c>
      <c r="C5" s="8"/>
      <c r="D5" s="8"/>
      <c r="E5" s="8"/>
      <c r="F5" s="8"/>
      <c r="G5" s="8"/>
      <c r="H5" s="8"/>
      <c r="I5" s="8"/>
      <c r="J5" s="8"/>
    </row>
    <row r="6" spans="1:10" s="30" customFormat="1" x14ac:dyDescent="0.25">
      <c r="A6" s="28"/>
      <c r="B6" s="19" t="s">
        <v>539</v>
      </c>
      <c r="C6" s="207">
        <v>930063769</v>
      </c>
      <c r="D6" s="207"/>
      <c r="E6" s="82"/>
      <c r="F6" s="82">
        <f>D6-E6</f>
        <v>0</v>
      </c>
      <c r="G6" s="207">
        <f t="shared" ref="G6:G19" si="0">+C6</f>
        <v>930063769</v>
      </c>
      <c r="H6" s="82">
        <f>C6-E6</f>
        <v>930063769</v>
      </c>
      <c r="I6" s="82">
        <f>G6-H6</f>
        <v>0</v>
      </c>
      <c r="J6" s="82">
        <f>F6+I6</f>
        <v>0</v>
      </c>
    </row>
    <row r="7" spans="1:10" s="30" customFormat="1" x14ac:dyDescent="0.25">
      <c r="A7" s="28"/>
      <c r="B7" s="19" t="s">
        <v>540</v>
      </c>
      <c r="C7" s="207">
        <v>544494882</v>
      </c>
      <c r="D7" s="207"/>
      <c r="E7" s="82"/>
      <c r="F7" s="82">
        <f t="shared" ref="F7:F36" si="1">D7-E7</f>
        <v>0</v>
      </c>
      <c r="G7" s="482">
        <f t="shared" si="0"/>
        <v>544494882</v>
      </c>
      <c r="H7" s="82">
        <f t="shared" ref="H7:H36" si="2">C7-E7</f>
        <v>544494882</v>
      </c>
      <c r="I7" s="82">
        <f t="shared" ref="I7:I36" si="3">G7-H7</f>
        <v>0</v>
      </c>
      <c r="J7" s="82">
        <f t="shared" ref="J7:J36" si="4">F7+I7</f>
        <v>0</v>
      </c>
    </row>
    <row r="8" spans="1:10" s="30" customFormat="1" x14ac:dyDescent="0.25">
      <c r="A8" s="28"/>
      <c r="B8" s="19" t="s">
        <v>541</v>
      </c>
      <c r="C8" s="207">
        <v>4409967414</v>
      </c>
      <c r="D8" s="207">
        <v>0</v>
      </c>
      <c r="E8" s="82">
        <v>0</v>
      </c>
      <c r="F8" s="82">
        <f t="shared" si="1"/>
        <v>0</v>
      </c>
      <c r="G8" s="482">
        <f t="shared" si="0"/>
        <v>4409967414</v>
      </c>
      <c r="H8" s="82">
        <f t="shared" si="2"/>
        <v>4409967414</v>
      </c>
      <c r="I8" s="82">
        <f t="shared" si="3"/>
        <v>0</v>
      </c>
      <c r="J8" s="82">
        <f t="shared" si="4"/>
        <v>0</v>
      </c>
    </row>
    <row r="9" spans="1:10" s="30" customFormat="1" x14ac:dyDescent="0.25">
      <c r="A9" s="28"/>
      <c r="B9" s="19" t="s">
        <v>542</v>
      </c>
      <c r="C9" s="207"/>
      <c r="D9" s="207"/>
      <c r="E9" s="82"/>
      <c r="F9" s="82">
        <f t="shared" si="1"/>
        <v>0</v>
      </c>
      <c r="G9" s="482">
        <f t="shared" si="0"/>
        <v>0</v>
      </c>
      <c r="H9" s="82">
        <f t="shared" si="2"/>
        <v>0</v>
      </c>
      <c r="I9" s="82">
        <f t="shared" si="3"/>
        <v>0</v>
      </c>
      <c r="J9" s="82">
        <f t="shared" si="4"/>
        <v>0</v>
      </c>
    </row>
    <row r="10" spans="1:10" s="30" customFormat="1" x14ac:dyDescent="0.25">
      <c r="A10" s="28"/>
      <c r="B10" s="19" t="s">
        <v>543</v>
      </c>
      <c r="C10" s="207">
        <v>80417500</v>
      </c>
      <c r="D10" s="207"/>
      <c r="E10" s="82"/>
      <c r="F10" s="82">
        <f t="shared" si="1"/>
        <v>0</v>
      </c>
      <c r="G10" s="482">
        <f t="shared" si="0"/>
        <v>80417500</v>
      </c>
      <c r="H10" s="82">
        <f t="shared" si="2"/>
        <v>80417500</v>
      </c>
      <c r="I10" s="82">
        <f t="shared" si="3"/>
        <v>0</v>
      </c>
      <c r="J10" s="82">
        <f t="shared" si="4"/>
        <v>0</v>
      </c>
    </row>
    <row r="11" spans="1:10" s="30" customFormat="1" x14ac:dyDescent="0.25">
      <c r="A11" s="28"/>
      <c r="B11" s="19" t="s">
        <v>544</v>
      </c>
      <c r="C11" s="207">
        <v>127330615</v>
      </c>
      <c r="D11" s="207"/>
      <c r="E11" s="82"/>
      <c r="F11" s="82">
        <f t="shared" si="1"/>
        <v>0</v>
      </c>
      <c r="G11" s="482">
        <f t="shared" si="0"/>
        <v>127330615</v>
      </c>
      <c r="H11" s="82">
        <f t="shared" si="2"/>
        <v>127330615</v>
      </c>
      <c r="I11" s="82">
        <f t="shared" si="3"/>
        <v>0</v>
      </c>
      <c r="J11" s="82">
        <f t="shared" si="4"/>
        <v>0</v>
      </c>
    </row>
    <row r="12" spans="1:10" s="30" customFormat="1" x14ac:dyDescent="0.25">
      <c r="A12" s="28"/>
      <c r="B12" s="19" t="s">
        <v>545</v>
      </c>
      <c r="C12" s="207"/>
      <c r="D12" s="207"/>
      <c r="E12" s="82"/>
      <c r="F12" s="82">
        <f t="shared" si="1"/>
        <v>0</v>
      </c>
      <c r="G12" s="482">
        <f t="shared" si="0"/>
        <v>0</v>
      </c>
      <c r="H12" s="82">
        <f t="shared" si="2"/>
        <v>0</v>
      </c>
      <c r="I12" s="82">
        <f t="shared" si="3"/>
        <v>0</v>
      </c>
      <c r="J12" s="82">
        <f t="shared" si="4"/>
        <v>0</v>
      </c>
    </row>
    <row r="13" spans="1:10" s="30" customFormat="1" x14ac:dyDescent="0.25">
      <c r="A13" s="28"/>
      <c r="B13" s="19" t="s">
        <v>50</v>
      </c>
      <c r="C13" s="207">
        <v>70000000</v>
      </c>
      <c r="D13" s="207"/>
      <c r="E13" s="82"/>
      <c r="F13" s="82">
        <f t="shared" si="1"/>
        <v>0</v>
      </c>
      <c r="G13" s="482">
        <f t="shared" si="0"/>
        <v>70000000</v>
      </c>
      <c r="H13" s="82">
        <f t="shared" si="2"/>
        <v>70000000</v>
      </c>
      <c r="I13" s="82">
        <f t="shared" si="3"/>
        <v>0</v>
      </c>
      <c r="J13" s="82">
        <f t="shared" si="4"/>
        <v>0</v>
      </c>
    </row>
    <row r="14" spans="1:10" s="30" customFormat="1" x14ac:dyDescent="0.25">
      <c r="A14" s="28"/>
      <c r="B14" s="19" t="s">
        <v>51</v>
      </c>
      <c r="C14" s="207"/>
      <c r="D14" s="207"/>
      <c r="E14" s="82"/>
      <c r="F14" s="82">
        <f t="shared" si="1"/>
        <v>0</v>
      </c>
      <c r="G14" s="482">
        <f t="shared" si="0"/>
        <v>0</v>
      </c>
      <c r="H14" s="82">
        <f t="shared" si="2"/>
        <v>0</v>
      </c>
      <c r="I14" s="82">
        <f t="shared" si="3"/>
        <v>0</v>
      </c>
      <c r="J14" s="82">
        <f t="shared" si="4"/>
        <v>0</v>
      </c>
    </row>
    <row r="15" spans="1:10" s="30" customFormat="1" x14ac:dyDescent="0.25">
      <c r="A15" s="28"/>
      <c r="B15" s="19" t="s">
        <v>53</v>
      </c>
      <c r="C15" s="207"/>
      <c r="D15" s="207"/>
      <c r="E15" s="82"/>
      <c r="F15" s="82">
        <f t="shared" si="1"/>
        <v>0</v>
      </c>
      <c r="G15" s="482">
        <f t="shared" si="0"/>
        <v>0</v>
      </c>
      <c r="H15" s="82">
        <f t="shared" si="2"/>
        <v>0</v>
      </c>
      <c r="I15" s="82">
        <f t="shared" si="3"/>
        <v>0</v>
      </c>
      <c r="J15" s="82">
        <f t="shared" si="4"/>
        <v>0</v>
      </c>
    </row>
    <row r="16" spans="1:10" s="30" customFormat="1" x14ac:dyDescent="0.25">
      <c r="A16" s="28"/>
      <c r="B16" s="19" t="s">
        <v>54</v>
      </c>
      <c r="C16" s="207">
        <v>586633425</v>
      </c>
      <c r="D16" s="207"/>
      <c r="E16" s="82"/>
      <c r="F16" s="82">
        <f t="shared" si="1"/>
        <v>0</v>
      </c>
      <c r="G16" s="482">
        <f t="shared" si="0"/>
        <v>586633425</v>
      </c>
      <c r="H16" s="82">
        <f t="shared" si="2"/>
        <v>586633425</v>
      </c>
      <c r="I16" s="82">
        <f t="shared" si="3"/>
        <v>0</v>
      </c>
      <c r="J16" s="82">
        <f t="shared" si="4"/>
        <v>0</v>
      </c>
    </row>
    <row r="17" spans="1:10" s="30" customFormat="1" ht="30" x14ac:dyDescent="0.25">
      <c r="A17" s="28"/>
      <c r="B17" s="27" t="s">
        <v>55</v>
      </c>
      <c r="C17" s="207"/>
      <c r="D17" s="207"/>
      <c r="E17" s="82"/>
      <c r="F17" s="82">
        <f t="shared" si="1"/>
        <v>0</v>
      </c>
      <c r="G17" s="482">
        <f t="shared" si="0"/>
        <v>0</v>
      </c>
      <c r="H17" s="82">
        <f t="shared" si="2"/>
        <v>0</v>
      </c>
      <c r="I17" s="82">
        <f t="shared" si="3"/>
        <v>0</v>
      </c>
      <c r="J17" s="82">
        <f t="shared" si="4"/>
        <v>0</v>
      </c>
    </row>
    <row r="18" spans="1:10" s="219" customFormat="1" x14ac:dyDescent="0.25">
      <c r="A18" s="218"/>
      <c r="B18" s="208" t="s">
        <v>56</v>
      </c>
      <c r="C18" s="207"/>
      <c r="D18" s="207"/>
      <c r="E18" s="82"/>
      <c r="F18" s="82">
        <f t="shared" si="1"/>
        <v>0</v>
      </c>
      <c r="G18" s="482">
        <f t="shared" si="0"/>
        <v>0</v>
      </c>
      <c r="H18" s="82">
        <f t="shared" si="2"/>
        <v>0</v>
      </c>
      <c r="I18" s="82">
        <f t="shared" si="3"/>
        <v>0</v>
      </c>
      <c r="J18" s="82">
        <f t="shared" si="4"/>
        <v>0</v>
      </c>
    </row>
    <row r="19" spans="1:10" s="219" customFormat="1" x14ac:dyDescent="0.25">
      <c r="A19" s="218"/>
      <c r="B19" s="208" t="s">
        <v>57</v>
      </c>
      <c r="C19" s="207">
        <v>717602000</v>
      </c>
      <c r="D19" s="207"/>
      <c r="E19" s="82"/>
      <c r="F19" s="82">
        <f t="shared" si="1"/>
        <v>0</v>
      </c>
      <c r="G19" s="482">
        <f t="shared" si="0"/>
        <v>717602000</v>
      </c>
      <c r="H19" s="82">
        <f t="shared" si="2"/>
        <v>717602000</v>
      </c>
      <c r="I19" s="82">
        <f t="shared" si="3"/>
        <v>0</v>
      </c>
      <c r="J19" s="82">
        <f t="shared" si="4"/>
        <v>0</v>
      </c>
    </row>
    <row r="20" spans="1:10" s="219" customFormat="1" x14ac:dyDescent="0.25">
      <c r="A20" s="218"/>
      <c r="B20" s="208" t="s">
        <v>58</v>
      </c>
      <c r="C20" s="207"/>
      <c r="D20" s="207"/>
      <c r="E20" s="82"/>
      <c r="F20" s="82">
        <f t="shared" si="1"/>
        <v>0</v>
      </c>
      <c r="G20" s="482">
        <f t="shared" ref="G20:G36" si="5">+C20</f>
        <v>0</v>
      </c>
      <c r="H20" s="82">
        <f t="shared" si="2"/>
        <v>0</v>
      </c>
      <c r="I20" s="82">
        <f t="shared" si="3"/>
        <v>0</v>
      </c>
      <c r="J20" s="82">
        <f t="shared" si="4"/>
        <v>0</v>
      </c>
    </row>
    <row r="21" spans="1:10" s="219" customFormat="1" x14ac:dyDescent="0.25">
      <c r="A21" s="218"/>
      <c r="B21" s="208" t="s">
        <v>546</v>
      </c>
      <c r="C21" s="207"/>
      <c r="D21" s="207"/>
      <c r="E21" s="82"/>
      <c r="F21" s="82">
        <f t="shared" si="1"/>
        <v>0</v>
      </c>
      <c r="G21" s="482">
        <f t="shared" si="5"/>
        <v>0</v>
      </c>
      <c r="H21" s="82">
        <f t="shared" si="2"/>
        <v>0</v>
      </c>
      <c r="I21" s="82">
        <f t="shared" si="3"/>
        <v>0</v>
      </c>
      <c r="J21" s="82">
        <f t="shared" si="4"/>
        <v>0</v>
      </c>
    </row>
    <row r="22" spans="1:10" s="219" customFormat="1" x14ac:dyDescent="0.25">
      <c r="A22" s="218"/>
      <c r="B22" s="208" t="s">
        <v>547</v>
      </c>
      <c r="C22" s="207"/>
      <c r="D22" s="207"/>
      <c r="E22" s="82"/>
      <c r="F22" s="82">
        <f t="shared" si="1"/>
        <v>0</v>
      </c>
      <c r="G22" s="482">
        <f t="shared" si="5"/>
        <v>0</v>
      </c>
      <c r="H22" s="82">
        <f t="shared" si="2"/>
        <v>0</v>
      </c>
      <c r="I22" s="82">
        <f t="shared" si="3"/>
        <v>0</v>
      </c>
      <c r="J22" s="82">
        <f t="shared" si="4"/>
        <v>0</v>
      </c>
    </row>
    <row r="23" spans="1:10" s="219" customFormat="1" x14ac:dyDescent="0.25">
      <c r="A23" s="218"/>
      <c r="B23" s="208" t="s">
        <v>59</v>
      </c>
      <c r="C23" s="207">
        <v>4324510000</v>
      </c>
      <c r="D23" s="207"/>
      <c r="E23" s="82"/>
      <c r="F23" s="82">
        <f t="shared" si="1"/>
        <v>0</v>
      </c>
      <c r="G23" s="482">
        <f t="shared" si="5"/>
        <v>4324510000</v>
      </c>
      <c r="H23" s="82">
        <f t="shared" si="2"/>
        <v>4324510000</v>
      </c>
      <c r="I23" s="82">
        <f t="shared" si="3"/>
        <v>0</v>
      </c>
      <c r="J23" s="82">
        <f t="shared" si="4"/>
        <v>0</v>
      </c>
    </row>
    <row r="24" spans="1:10" s="30" customFormat="1" x14ac:dyDescent="0.25">
      <c r="A24" s="28"/>
      <c r="B24" s="27" t="s">
        <v>60</v>
      </c>
      <c r="C24" s="207">
        <v>204500000</v>
      </c>
      <c r="D24" s="207"/>
      <c r="E24" s="82"/>
      <c r="F24" s="82">
        <f t="shared" si="1"/>
        <v>0</v>
      </c>
      <c r="G24" s="482">
        <f t="shared" si="5"/>
        <v>204500000</v>
      </c>
      <c r="H24" s="82">
        <f t="shared" si="2"/>
        <v>204500000</v>
      </c>
      <c r="I24" s="82">
        <f t="shared" si="3"/>
        <v>0</v>
      </c>
      <c r="J24" s="82">
        <f t="shared" si="4"/>
        <v>0</v>
      </c>
    </row>
    <row r="25" spans="1:10" s="30" customFormat="1" x14ac:dyDescent="0.25">
      <c r="A25" s="28"/>
      <c r="B25" s="19" t="s">
        <v>548</v>
      </c>
      <c r="C25" s="207"/>
      <c r="D25" s="207"/>
      <c r="E25" s="82"/>
      <c r="F25" s="82">
        <f t="shared" si="1"/>
        <v>0</v>
      </c>
      <c r="G25" s="482">
        <f t="shared" si="5"/>
        <v>0</v>
      </c>
      <c r="H25" s="82">
        <f t="shared" si="2"/>
        <v>0</v>
      </c>
      <c r="I25" s="82">
        <f t="shared" si="3"/>
        <v>0</v>
      </c>
      <c r="J25" s="82">
        <f t="shared" si="4"/>
        <v>0</v>
      </c>
    </row>
    <row r="26" spans="1:10" s="30" customFormat="1" x14ac:dyDescent="0.25">
      <c r="A26" s="28"/>
      <c r="B26" s="19" t="s">
        <v>61</v>
      </c>
      <c r="C26" s="207">
        <v>198960000</v>
      </c>
      <c r="D26" s="207"/>
      <c r="E26" s="82"/>
      <c r="F26" s="82">
        <f t="shared" si="1"/>
        <v>0</v>
      </c>
      <c r="G26" s="482">
        <f t="shared" si="5"/>
        <v>198960000</v>
      </c>
      <c r="H26" s="82">
        <f t="shared" si="2"/>
        <v>198960000</v>
      </c>
      <c r="I26" s="82">
        <f t="shared" si="3"/>
        <v>0</v>
      </c>
      <c r="J26" s="82">
        <f t="shared" si="4"/>
        <v>0</v>
      </c>
    </row>
    <row r="27" spans="1:10" s="30" customFormat="1" x14ac:dyDescent="0.25">
      <c r="A27" s="28"/>
      <c r="B27" s="19" t="s">
        <v>549</v>
      </c>
      <c r="C27" s="207"/>
      <c r="D27" s="207"/>
      <c r="E27" s="82"/>
      <c r="F27" s="82">
        <f t="shared" si="1"/>
        <v>0</v>
      </c>
      <c r="G27" s="482">
        <f t="shared" si="5"/>
        <v>0</v>
      </c>
      <c r="H27" s="82">
        <f t="shared" si="2"/>
        <v>0</v>
      </c>
      <c r="I27" s="82">
        <f t="shared" si="3"/>
        <v>0</v>
      </c>
      <c r="J27" s="82">
        <f t="shared" si="4"/>
        <v>0</v>
      </c>
    </row>
    <row r="28" spans="1:10" s="30" customFormat="1" x14ac:dyDescent="0.25">
      <c r="A28" s="28"/>
      <c r="B28" s="19" t="s">
        <v>62</v>
      </c>
      <c r="C28" s="207"/>
      <c r="D28" s="207"/>
      <c r="E28" s="82"/>
      <c r="F28" s="82">
        <f t="shared" si="1"/>
        <v>0</v>
      </c>
      <c r="G28" s="482">
        <f t="shared" si="5"/>
        <v>0</v>
      </c>
      <c r="H28" s="82">
        <f t="shared" si="2"/>
        <v>0</v>
      </c>
      <c r="I28" s="82">
        <f t="shared" si="3"/>
        <v>0</v>
      </c>
      <c r="J28" s="82">
        <f t="shared" si="4"/>
        <v>0</v>
      </c>
    </row>
    <row r="29" spans="1:10" x14ac:dyDescent="0.25">
      <c r="A29" s="9"/>
      <c r="B29" s="19" t="s">
        <v>550</v>
      </c>
      <c r="C29" s="11"/>
      <c r="D29" s="11"/>
      <c r="E29" s="26"/>
      <c r="F29" s="82">
        <f t="shared" si="1"/>
        <v>0</v>
      </c>
      <c r="G29" s="482">
        <f t="shared" si="5"/>
        <v>0</v>
      </c>
      <c r="H29" s="82">
        <f t="shared" si="2"/>
        <v>0</v>
      </c>
      <c r="I29" s="82">
        <f t="shared" si="3"/>
        <v>0</v>
      </c>
      <c r="J29" s="82">
        <f t="shared" si="4"/>
        <v>0</v>
      </c>
    </row>
    <row r="30" spans="1:10" x14ac:dyDescent="0.25">
      <c r="A30" s="9"/>
      <c r="B30" s="19" t="s">
        <v>551</v>
      </c>
      <c r="C30" s="11"/>
      <c r="D30" s="11"/>
      <c r="E30" s="26"/>
      <c r="F30" s="82">
        <f t="shared" si="1"/>
        <v>0</v>
      </c>
      <c r="G30" s="482">
        <f t="shared" si="5"/>
        <v>0</v>
      </c>
      <c r="H30" s="82">
        <f t="shared" si="2"/>
        <v>0</v>
      </c>
      <c r="I30" s="82">
        <f t="shared" si="3"/>
        <v>0</v>
      </c>
      <c r="J30" s="82">
        <f t="shared" si="4"/>
        <v>0</v>
      </c>
    </row>
    <row r="31" spans="1:10" x14ac:dyDescent="0.25">
      <c r="A31" s="9"/>
      <c r="B31" s="19" t="s">
        <v>552</v>
      </c>
      <c r="C31" s="11"/>
      <c r="D31" s="11"/>
      <c r="E31" s="26"/>
      <c r="F31" s="82">
        <f t="shared" si="1"/>
        <v>0</v>
      </c>
      <c r="G31" s="482">
        <f t="shared" si="5"/>
        <v>0</v>
      </c>
      <c r="H31" s="82">
        <f t="shared" si="2"/>
        <v>0</v>
      </c>
      <c r="I31" s="82">
        <f t="shared" si="3"/>
        <v>0</v>
      </c>
      <c r="J31" s="82">
        <f t="shared" si="4"/>
        <v>0</v>
      </c>
    </row>
    <row r="32" spans="1:10" x14ac:dyDescent="0.25">
      <c r="A32" s="9"/>
      <c r="B32" s="19" t="s">
        <v>553</v>
      </c>
      <c r="C32" s="11">
        <v>1583142020</v>
      </c>
      <c r="D32" s="11"/>
      <c r="E32" s="26"/>
      <c r="F32" s="82">
        <f t="shared" si="1"/>
        <v>0</v>
      </c>
      <c r="G32" s="482">
        <f t="shared" si="5"/>
        <v>1583142020</v>
      </c>
      <c r="H32" s="82">
        <f t="shared" si="2"/>
        <v>1583142020</v>
      </c>
      <c r="I32" s="82">
        <f t="shared" si="3"/>
        <v>0</v>
      </c>
      <c r="J32" s="82">
        <f t="shared" si="4"/>
        <v>0</v>
      </c>
    </row>
    <row r="33" spans="1:10" x14ac:dyDescent="0.25">
      <c r="A33" s="9"/>
      <c r="B33" s="19" t="s">
        <v>554</v>
      </c>
      <c r="C33" s="11">
        <v>199158000</v>
      </c>
      <c r="D33" s="11"/>
      <c r="E33" s="26"/>
      <c r="F33" s="82">
        <f t="shared" si="1"/>
        <v>0</v>
      </c>
      <c r="G33" s="482">
        <f t="shared" si="5"/>
        <v>199158000</v>
      </c>
      <c r="H33" s="82">
        <f t="shared" si="2"/>
        <v>199158000</v>
      </c>
      <c r="I33" s="82">
        <f t="shared" si="3"/>
        <v>0</v>
      </c>
      <c r="J33" s="82">
        <f t="shared" si="4"/>
        <v>0</v>
      </c>
    </row>
    <row r="34" spans="1:10" x14ac:dyDescent="0.25">
      <c r="A34" s="9"/>
      <c r="B34" s="19" t="s">
        <v>555</v>
      </c>
      <c r="C34" s="11">
        <v>199356000</v>
      </c>
      <c r="D34" s="11"/>
      <c r="E34" s="26"/>
      <c r="F34" s="82">
        <f t="shared" si="1"/>
        <v>0</v>
      </c>
      <c r="G34" s="482">
        <f t="shared" si="5"/>
        <v>199356000</v>
      </c>
      <c r="H34" s="82">
        <f t="shared" si="2"/>
        <v>199356000</v>
      </c>
      <c r="I34" s="82">
        <f t="shared" si="3"/>
        <v>0</v>
      </c>
      <c r="J34" s="82">
        <f t="shared" si="4"/>
        <v>0</v>
      </c>
    </row>
    <row r="35" spans="1:10" x14ac:dyDescent="0.25">
      <c r="A35" s="9"/>
      <c r="B35" s="19" t="s">
        <v>556</v>
      </c>
      <c r="C35" s="11"/>
      <c r="D35" s="11"/>
      <c r="E35" s="26"/>
      <c r="F35" s="82">
        <f t="shared" si="1"/>
        <v>0</v>
      </c>
      <c r="G35" s="482">
        <f t="shared" si="5"/>
        <v>0</v>
      </c>
      <c r="H35" s="82">
        <f t="shared" si="2"/>
        <v>0</v>
      </c>
      <c r="I35" s="82">
        <f t="shared" si="3"/>
        <v>0</v>
      </c>
      <c r="J35" s="82">
        <f t="shared" si="4"/>
        <v>0</v>
      </c>
    </row>
    <row r="36" spans="1:10" x14ac:dyDescent="0.25">
      <c r="A36" s="9"/>
      <c r="B36" s="19" t="s">
        <v>557</v>
      </c>
      <c r="C36" s="11"/>
      <c r="D36" s="11"/>
      <c r="E36" s="26"/>
      <c r="F36" s="82">
        <f t="shared" si="1"/>
        <v>0</v>
      </c>
      <c r="G36" s="482">
        <f t="shared" si="5"/>
        <v>0</v>
      </c>
      <c r="H36" s="82">
        <f t="shared" si="2"/>
        <v>0</v>
      </c>
      <c r="I36" s="82">
        <f t="shared" si="3"/>
        <v>0</v>
      </c>
      <c r="J36" s="82">
        <f t="shared" si="4"/>
        <v>0</v>
      </c>
    </row>
    <row r="37" spans="1:10" s="2" customFormat="1" x14ac:dyDescent="0.25">
      <c r="A37" s="6"/>
      <c r="B37" s="6" t="s">
        <v>29</v>
      </c>
      <c r="C37" s="18">
        <f t="shared" ref="C37:J37" si="6">SUM(C6:C36)</f>
        <v>14176135625</v>
      </c>
      <c r="D37" s="18">
        <f t="shared" si="6"/>
        <v>0</v>
      </c>
      <c r="E37" s="18">
        <f t="shared" si="6"/>
        <v>0</v>
      </c>
      <c r="F37" s="18">
        <f t="shared" si="6"/>
        <v>0</v>
      </c>
      <c r="G37" s="18">
        <f t="shared" si="6"/>
        <v>14176135625</v>
      </c>
      <c r="H37" s="18">
        <f t="shared" si="6"/>
        <v>14176135625</v>
      </c>
      <c r="I37" s="18">
        <f t="shared" si="6"/>
        <v>0</v>
      </c>
      <c r="J37" s="18">
        <f t="shared" si="6"/>
        <v>0</v>
      </c>
    </row>
    <row r="38" spans="1:10" s="2" customFormat="1" x14ac:dyDescent="0.25">
      <c r="A38" s="6"/>
      <c r="B38" s="6"/>
      <c r="C38" s="18"/>
      <c r="D38" s="18"/>
      <c r="E38" s="18"/>
      <c r="F38" s="18"/>
      <c r="G38" s="18"/>
      <c r="H38" s="18"/>
      <c r="I38" s="18"/>
      <c r="J38" s="18"/>
    </row>
    <row r="39" spans="1:10" s="2" customFormat="1" x14ac:dyDescent="0.25">
      <c r="A39" s="6">
        <v>2</v>
      </c>
      <c r="B39" s="31" t="s">
        <v>84</v>
      </c>
      <c r="C39" s="18"/>
      <c r="D39" s="18"/>
      <c r="E39" s="18"/>
      <c r="F39" s="18"/>
      <c r="G39" s="18"/>
      <c r="H39" s="18"/>
      <c r="I39" s="18"/>
      <c r="J39" s="18"/>
    </row>
    <row r="40" spans="1:10" s="44" customFormat="1" x14ac:dyDescent="0.25">
      <c r="A40" s="28"/>
      <c r="B40" s="32" t="s">
        <v>81</v>
      </c>
      <c r="C40" s="221">
        <v>254100000</v>
      </c>
      <c r="D40" s="221"/>
      <c r="E40" s="82"/>
      <c r="F40" s="82">
        <f t="shared" ref="F40:F44" si="7">D40-E40</f>
        <v>0</v>
      </c>
      <c r="G40" s="482">
        <f t="shared" ref="G40:G44" si="8">+C40</f>
        <v>254100000</v>
      </c>
      <c r="H40" s="82">
        <f>C40-E40</f>
        <v>254100000</v>
      </c>
      <c r="I40" s="82">
        <f>G40-H40</f>
        <v>0</v>
      </c>
      <c r="J40" s="82">
        <f t="shared" ref="J40:J46" si="9">F40+I40</f>
        <v>0</v>
      </c>
    </row>
    <row r="41" spans="1:10" s="222" customFormat="1" x14ac:dyDescent="0.25">
      <c r="A41" s="218"/>
      <c r="B41" s="220" t="s">
        <v>82</v>
      </c>
      <c r="C41" s="221">
        <v>181217500</v>
      </c>
      <c r="D41" s="221"/>
      <c r="E41" s="82"/>
      <c r="F41" s="82">
        <f t="shared" si="7"/>
        <v>0</v>
      </c>
      <c r="G41" s="482">
        <f t="shared" si="8"/>
        <v>181217500</v>
      </c>
      <c r="H41" s="82">
        <f>C41-E41</f>
        <v>181217500</v>
      </c>
      <c r="I41" s="82">
        <f>G41-H41</f>
        <v>0</v>
      </c>
      <c r="J41" s="82">
        <f t="shared" si="9"/>
        <v>0</v>
      </c>
    </row>
    <row r="42" spans="1:10" s="222" customFormat="1" x14ac:dyDescent="0.25">
      <c r="A42" s="218"/>
      <c r="B42" s="220" t="s">
        <v>558</v>
      </c>
      <c r="C42" s="221"/>
      <c r="D42" s="221"/>
      <c r="E42" s="82"/>
      <c r="F42" s="82">
        <f t="shared" si="7"/>
        <v>0</v>
      </c>
      <c r="G42" s="482">
        <f t="shared" si="8"/>
        <v>0</v>
      </c>
      <c r="H42" s="82">
        <f>C42-E42</f>
        <v>0</v>
      </c>
      <c r="I42" s="82">
        <f>G42-H42</f>
        <v>0</v>
      </c>
      <c r="J42" s="82">
        <f t="shared" si="9"/>
        <v>0</v>
      </c>
    </row>
    <row r="43" spans="1:10" s="44" customFormat="1" x14ac:dyDescent="0.25">
      <c r="A43" s="28"/>
      <c r="B43" s="32" t="s">
        <v>559</v>
      </c>
      <c r="C43" s="483">
        <v>47575000</v>
      </c>
      <c r="D43" s="221"/>
      <c r="E43" s="82"/>
      <c r="F43" s="82">
        <f t="shared" si="7"/>
        <v>0</v>
      </c>
      <c r="G43" s="482">
        <f t="shared" si="8"/>
        <v>47575000</v>
      </c>
      <c r="H43" s="82">
        <f>C43-E43</f>
        <v>47575000</v>
      </c>
      <c r="I43" s="82">
        <f>G43-H43</f>
        <v>0</v>
      </c>
      <c r="J43" s="82">
        <f t="shared" si="9"/>
        <v>0</v>
      </c>
    </row>
    <row r="44" spans="1:10" s="44" customFormat="1" x14ac:dyDescent="0.25">
      <c r="A44" s="28"/>
      <c r="B44" s="32" t="s">
        <v>83</v>
      </c>
      <c r="C44" s="483">
        <v>185975000</v>
      </c>
      <c r="D44" s="221"/>
      <c r="E44" s="82"/>
      <c r="F44" s="82">
        <f t="shared" si="7"/>
        <v>0</v>
      </c>
      <c r="G44" s="482">
        <f t="shared" si="8"/>
        <v>185975000</v>
      </c>
      <c r="H44" s="82">
        <f>C44-E44</f>
        <v>185975000</v>
      </c>
      <c r="I44" s="82">
        <f>G44-H44</f>
        <v>0</v>
      </c>
      <c r="J44" s="82">
        <f t="shared" si="9"/>
        <v>0</v>
      </c>
    </row>
    <row r="45" spans="1:10" s="2" customFormat="1" x14ac:dyDescent="0.25">
      <c r="A45" s="6"/>
      <c r="B45" s="6" t="s">
        <v>29</v>
      </c>
      <c r="C45" s="18">
        <f t="shared" ref="C45:I45" si="10">SUM(C40:C44)</f>
        <v>668867500</v>
      </c>
      <c r="D45" s="18">
        <f t="shared" si="10"/>
        <v>0</v>
      </c>
      <c r="E45" s="18">
        <f t="shared" si="10"/>
        <v>0</v>
      </c>
      <c r="F45" s="18">
        <f t="shared" si="10"/>
        <v>0</v>
      </c>
      <c r="G45" s="18">
        <f t="shared" si="10"/>
        <v>668867500</v>
      </c>
      <c r="H45" s="18">
        <f t="shared" si="10"/>
        <v>668867500</v>
      </c>
      <c r="I45" s="18">
        <f t="shared" si="10"/>
        <v>0</v>
      </c>
      <c r="J45" s="82">
        <f t="shared" si="9"/>
        <v>0</v>
      </c>
    </row>
    <row r="46" spans="1:10" s="2" customFormat="1" x14ac:dyDescent="0.25">
      <c r="A46" s="6"/>
      <c r="B46" s="6"/>
      <c r="C46" s="18"/>
      <c r="D46" s="18"/>
      <c r="E46" s="18"/>
      <c r="F46" s="18"/>
      <c r="G46" s="18"/>
      <c r="H46" s="18"/>
      <c r="I46" s="18"/>
      <c r="J46" s="82">
        <f t="shared" si="9"/>
        <v>0</v>
      </c>
    </row>
    <row r="47" spans="1:10" s="2" customFormat="1" x14ac:dyDescent="0.25">
      <c r="A47" s="6">
        <v>3</v>
      </c>
      <c r="B47" s="236" t="s">
        <v>598</v>
      </c>
      <c r="C47" s="18"/>
      <c r="D47" s="18"/>
      <c r="E47" s="18"/>
      <c r="F47" s="18"/>
      <c r="G47" s="18"/>
      <c r="H47" s="18"/>
      <c r="I47" s="18"/>
      <c r="J47" s="18"/>
    </row>
    <row r="48" spans="1:10" s="2" customFormat="1" x14ac:dyDescent="0.25">
      <c r="A48" s="6"/>
      <c r="B48" s="237" t="s">
        <v>599</v>
      </c>
      <c r="C48" s="18"/>
      <c r="D48" s="18"/>
      <c r="E48" s="18"/>
      <c r="F48" s="18"/>
      <c r="G48" s="18"/>
      <c r="H48" s="82">
        <f>C48-E48</f>
        <v>0</v>
      </c>
      <c r="I48" s="82">
        <f>G48-H48</f>
        <v>0</v>
      </c>
      <c r="J48" s="82">
        <f>F48+I48</f>
        <v>0</v>
      </c>
    </row>
    <row r="49" spans="1:10" s="2" customFormat="1" x14ac:dyDescent="0.25">
      <c r="A49" s="6"/>
      <c r="B49" s="6" t="s">
        <v>29</v>
      </c>
      <c r="C49" s="18">
        <f t="shared" ref="C49:J49" si="11">SUM(C48)</f>
        <v>0</v>
      </c>
      <c r="D49" s="18">
        <f t="shared" si="11"/>
        <v>0</v>
      </c>
      <c r="E49" s="18">
        <f t="shared" si="11"/>
        <v>0</v>
      </c>
      <c r="F49" s="18">
        <f t="shared" si="11"/>
        <v>0</v>
      </c>
      <c r="G49" s="18">
        <f t="shared" si="11"/>
        <v>0</v>
      </c>
      <c r="H49" s="18">
        <f t="shared" si="11"/>
        <v>0</v>
      </c>
      <c r="I49" s="18">
        <f t="shared" si="11"/>
        <v>0</v>
      </c>
      <c r="J49" s="18">
        <f t="shared" si="11"/>
        <v>0</v>
      </c>
    </row>
    <row r="50" spans="1:10" s="2" customFormat="1" x14ac:dyDescent="0.25">
      <c r="A50" s="6"/>
      <c r="B50" s="6"/>
      <c r="C50" s="18"/>
      <c r="D50" s="18"/>
      <c r="E50" s="18"/>
      <c r="F50" s="18"/>
      <c r="G50" s="18"/>
      <c r="H50" s="18"/>
      <c r="I50" s="18"/>
      <c r="J50" s="18"/>
    </row>
    <row r="51" spans="1:10" s="2" customFormat="1" x14ac:dyDescent="0.25">
      <c r="A51" s="209">
        <v>4</v>
      </c>
      <c r="B51" s="210" t="s">
        <v>106</v>
      </c>
      <c r="C51" s="211"/>
      <c r="D51" s="211"/>
      <c r="E51" s="211"/>
      <c r="F51" s="211"/>
      <c r="G51" s="211"/>
      <c r="H51" s="211"/>
      <c r="I51" s="211"/>
      <c r="J51" s="211"/>
    </row>
    <row r="52" spans="1:10" s="2" customFormat="1" x14ac:dyDescent="0.25">
      <c r="A52" s="209"/>
      <c r="B52" s="212" t="s">
        <v>176</v>
      </c>
      <c r="C52" s="211"/>
      <c r="D52" s="211"/>
      <c r="E52" s="211"/>
      <c r="F52" s="204">
        <f>D52-E52</f>
        <v>0</v>
      </c>
      <c r="G52" s="211">
        <f>I52</f>
        <v>0</v>
      </c>
      <c r="H52" s="204">
        <f>C52-E52</f>
        <v>0</v>
      </c>
      <c r="I52" s="204"/>
      <c r="J52" s="204">
        <f>F52+I52</f>
        <v>0</v>
      </c>
    </row>
    <row r="53" spans="1:10" s="2" customFormat="1" x14ac:dyDescent="0.25">
      <c r="A53" s="209"/>
      <c r="B53" s="212" t="s">
        <v>177</v>
      </c>
      <c r="C53" s="211"/>
      <c r="D53" s="211"/>
      <c r="E53" s="204"/>
      <c r="F53" s="204"/>
      <c r="G53" s="211"/>
      <c r="H53" s="204">
        <f>C53-E53</f>
        <v>0</v>
      </c>
      <c r="I53" s="204">
        <f>G53-H53</f>
        <v>0</v>
      </c>
      <c r="J53" s="204">
        <f>F53+I53</f>
        <v>0</v>
      </c>
    </row>
    <row r="54" spans="1:10" s="2" customFormat="1" x14ac:dyDescent="0.25">
      <c r="A54" s="209"/>
      <c r="B54" s="212" t="s">
        <v>600</v>
      </c>
      <c r="C54" s="211"/>
      <c r="D54" s="211"/>
      <c r="E54" s="204"/>
      <c r="F54" s="204"/>
      <c r="G54" s="204"/>
      <c r="H54" s="204">
        <f>C54-E54</f>
        <v>0</v>
      </c>
      <c r="I54" s="204">
        <f>G54-H54</f>
        <v>0</v>
      </c>
      <c r="J54" s="204">
        <f>F54+I54</f>
        <v>0</v>
      </c>
    </row>
    <row r="55" spans="1:10" s="2" customFormat="1" x14ac:dyDescent="0.25">
      <c r="A55" s="6"/>
      <c r="B55" s="6" t="s">
        <v>29</v>
      </c>
      <c r="C55" s="18">
        <f t="shared" ref="C55:J55" si="12">SUM(C52:C53)</f>
        <v>0</v>
      </c>
      <c r="D55" s="18">
        <f t="shared" si="12"/>
        <v>0</v>
      </c>
      <c r="E55" s="18">
        <f t="shared" si="12"/>
        <v>0</v>
      </c>
      <c r="F55" s="18">
        <f t="shared" si="12"/>
        <v>0</v>
      </c>
      <c r="G55" s="18">
        <f t="shared" si="12"/>
        <v>0</v>
      </c>
      <c r="H55" s="18">
        <f t="shared" si="12"/>
        <v>0</v>
      </c>
      <c r="I55" s="18">
        <f t="shared" si="12"/>
        <v>0</v>
      </c>
      <c r="J55" s="18">
        <f t="shared" si="12"/>
        <v>0</v>
      </c>
    </row>
    <row r="56" spans="1:10" s="2" customFormat="1" x14ac:dyDescent="0.25">
      <c r="A56" s="6"/>
      <c r="B56" s="6" t="s">
        <v>28</v>
      </c>
      <c r="C56" s="18">
        <f t="shared" ref="C56:J56" si="13">+C37+C45+C55+C49</f>
        <v>14845003125</v>
      </c>
      <c r="D56" s="18">
        <f t="shared" si="13"/>
        <v>0</v>
      </c>
      <c r="E56" s="18">
        <f t="shared" si="13"/>
        <v>0</v>
      </c>
      <c r="F56" s="18">
        <f t="shared" si="13"/>
        <v>0</v>
      </c>
      <c r="G56" s="18">
        <f t="shared" si="13"/>
        <v>14845003125</v>
      </c>
      <c r="H56" s="18">
        <f t="shared" si="13"/>
        <v>14845003125</v>
      </c>
      <c r="I56" s="18">
        <f t="shared" si="13"/>
        <v>0</v>
      </c>
      <c r="J56" s="18">
        <f t="shared" si="13"/>
        <v>0</v>
      </c>
    </row>
    <row r="57" spans="1:10" x14ac:dyDescent="0.25">
      <c r="C57" s="3">
        <v>14176135625</v>
      </c>
    </row>
    <row r="58" spans="1:10" x14ac:dyDescent="0.25">
      <c r="C58" s="3">
        <v>668867500</v>
      </c>
    </row>
    <row r="59" spans="1:10" x14ac:dyDescent="0.25">
      <c r="C59" s="3">
        <f>+C56-C57-C58</f>
        <v>0</v>
      </c>
    </row>
  </sheetData>
  <sheetProtection algorithmName="SHA-512" hashValue="Vw7lJdsNuycfxrfaVxzeLHooQ48K+8rW7OJyJLXExQ4nkq8aPiEfSlcppnbVwz6jTlkcujZRSyZwZQBCpfVsEA==" saltValue="7pyBuZkdlctWe7U9D/oaHg==" spinCount="100000" sheet="1" objects="1" scenarios="1"/>
  <mergeCells count="1">
    <mergeCell ref="A1:J1"/>
  </mergeCells>
  <pageMargins left="0.31496062992125984" right="0.31496062992125984" top="0.47" bottom="0.74803149606299213" header="0.31496062992125984" footer="0.31496062992125984"/>
  <pageSetup paperSize="258" scale="60" orientation="landscape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5" tint="0.39997558519241921"/>
  </sheetPr>
  <dimension ref="A1:K19"/>
  <sheetViews>
    <sheetView view="pageBreakPreview" zoomScale="85" zoomScaleNormal="70" zoomScaleSheetLayoutView="85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 activeCell="H8" sqref="H8"/>
    </sheetView>
  </sheetViews>
  <sheetFormatPr defaultRowHeight="15" x14ac:dyDescent="0.25"/>
  <cols>
    <col min="1" max="1" width="3.85546875" style="5" bestFit="1" customWidth="1"/>
    <col min="2" max="2" width="62.85546875" customWidth="1"/>
    <col min="3" max="11" width="20.28515625" style="3" customWidth="1"/>
  </cols>
  <sheetData>
    <row r="1" spans="1:11" s="17" customFormat="1" ht="21" x14ac:dyDescent="0.35">
      <c r="A1" s="847" t="s">
        <v>65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</row>
    <row r="3" spans="1:11" s="4" customFormat="1" ht="45" x14ac:dyDescent="0.25">
      <c r="A3" s="13" t="s">
        <v>22</v>
      </c>
      <c r="B3" s="13" t="s">
        <v>23</v>
      </c>
      <c r="C3" s="14" t="s">
        <v>25</v>
      </c>
      <c r="D3" s="85" t="s">
        <v>865</v>
      </c>
      <c r="E3" s="84" t="s">
        <v>624</v>
      </c>
      <c r="F3" s="85" t="s">
        <v>866</v>
      </c>
      <c r="G3" s="38" t="s">
        <v>867</v>
      </c>
      <c r="H3" s="38" t="s">
        <v>868</v>
      </c>
      <c r="I3" s="38" t="s">
        <v>869</v>
      </c>
      <c r="J3" s="15" t="s">
        <v>870</v>
      </c>
      <c r="K3" s="205" t="s">
        <v>140</v>
      </c>
    </row>
    <row r="4" spans="1:11" s="4" customFormat="1" x14ac:dyDescent="0.25">
      <c r="A4" s="13">
        <v>1</v>
      </c>
      <c r="B4" s="13">
        <v>2</v>
      </c>
      <c r="C4" s="16">
        <v>3</v>
      </c>
      <c r="D4" s="86">
        <v>4</v>
      </c>
      <c r="E4" s="86">
        <v>5</v>
      </c>
      <c r="F4" s="86" t="s">
        <v>138</v>
      </c>
      <c r="G4" s="39">
        <v>7</v>
      </c>
      <c r="H4" s="39" t="s">
        <v>661</v>
      </c>
      <c r="I4" s="39" t="s">
        <v>840</v>
      </c>
      <c r="J4" s="16" t="s">
        <v>633</v>
      </c>
      <c r="K4" s="242" t="s">
        <v>636</v>
      </c>
    </row>
    <row r="5" spans="1:11" s="1" customFormat="1" x14ac:dyDescent="0.25">
      <c r="A5" s="6">
        <v>1</v>
      </c>
      <c r="B5" s="7" t="s">
        <v>167</v>
      </c>
      <c r="C5" s="8"/>
      <c r="D5" s="8"/>
      <c r="E5" s="8"/>
      <c r="F5" s="8"/>
      <c r="G5" s="8"/>
      <c r="H5" s="8"/>
      <c r="I5" s="8"/>
      <c r="J5" s="8"/>
      <c r="K5" s="8"/>
    </row>
    <row r="6" spans="1:11" s="30" customFormat="1" x14ac:dyDescent="0.25">
      <c r="A6" s="28"/>
      <c r="B6" s="19" t="s">
        <v>21</v>
      </c>
      <c r="C6" s="8">
        <f t="shared" ref="C6:J6" si="0">SUM(C7:C8)</f>
        <v>489808000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171718750.00000009</v>
      </c>
      <c r="H6" s="8">
        <f>C6-F6</f>
        <v>489808000</v>
      </c>
      <c r="I6" s="8">
        <f t="shared" si="0"/>
        <v>318089249.99999988</v>
      </c>
      <c r="J6" s="8">
        <f t="shared" si="0"/>
        <v>-318089249.99999988</v>
      </c>
      <c r="K6" s="207">
        <f>C6-G6</f>
        <v>318089249.99999988</v>
      </c>
    </row>
    <row r="7" spans="1:11" s="30" customFormat="1" x14ac:dyDescent="0.25">
      <c r="A7" s="28"/>
      <c r="B7" s="19" t="s">
        <v>508</v>
      </c>
      <c r="C7" s="29">
        <f>195922000+195543000</f>
        <v>391465000</v>
      </c>
      <c r="D7" s="207"/>
      <c r="E7" s="207"/>
      <c r="F7" s="207">
        <f>D7-E7</f>
        <v>0</v>
      </c>
      <c r="G7" s="207">
        <f>+'BELANJA DBYAR DMUKA'!G35</f>
        <v>81571000.00000006</v>
      </c>
      <c r="H7" s="8">
        <f>C7-F7</f>
        <v>391465000</v>
      </c>
      <c r="I7" s="482">
        <f>+H7-G7</f>
        <v>309893999.99999994</v>
      </c>
      <c r="J7" s="207">
        <f>+F7-I7</f>
        <v>-309893999.99999994</v>
      </c>
      <c r="K7" s="207">
        <f>C7-G7</f>
        <v>309893999.99999994</v>
      </c>
    </row>
    <row r="8" spans="1:11" s="30" customFormat="1" x14ac:dyDescent="0.25">
      <c r="A8" s="28"/>
      <c r="B8" s="19" t="s">
        <v>507</v>
      </c>
      <c r="C8" s="29">
        <v>98343000</v>
      </c>
      <c r="D8" s="207"/>
      <c r="E8" s="207"/>
      <c r="F8" s="207">
        <f>D8-E8</f>
        <v>0</v>
      </c>
      <c r="G8" s="207">
        <f>+'BELANJA DBYAR DMUKA'!G9</f>
        <v>90147750.00000003</v>
      </c>
      <c r="H8" s="8">
        <f>C8-F8</f>
        <v>98343000</v>
      </c>
      <c r="I8" s="482">
        <f>+H8-G8</f>
        <v>8195249.9999999702</v>
      </c>
      <c r="J8" s="482">
        <f>+F8-I8</f>
        <v>-8195249.9999999702</v>
      </c>
      <c r="K8" s="207">
        <f>C8-G8</f>
        <v>8195249.9999999702</v>
      </c>
    </row>
    <row r="9" spans="1:11" s="30" customFormat="1" x14ac:dyDescent="0.25">
      <c r="A9" s="28"/>
      <c r="B9" s="19" t="s">
        <v>319</v>
      </c>
      <c r="C9" s="482">
        <v>52153500</v>
      </c>
      <c r="D9" s="207"/>
      <c r="E9" s="207"/>
      <c r="F9" s="207">
        <f>D9-E9</f>
        <v>0</v>
      </c>
      <c r="G9" s="482">
        <f>+C9</f>
        <v>52153500</v>
      </c>
      <c r="H9" s="8">
        <f>C9-F9</f>
        <v>52153500</v>
      </c>
      <c r="I9" s="482">
        <f>+H9-G9</f>
        <v>0</v>
      </c>
      <c r="J9" s="482">
        <f>+F9-I9</f>
        <v>0</v>
      </c>
      <c r="K9" s="207">
        <f>C9-G9</f>
        <v>0</v>
      </c>
    </row>
    <row r="10" spans="1:11" s="30" customFormat="1" x14ac:dyDescent="0.25">
      <c r="A10" s="28"/>
      <c r="B10" s="19" t="s">
        <v>538</v>
      </c>
      <c r="C10" s="29"/>
      <c r="D10" s="207"/>
      <c r="E10" s="207"/>
      <c r="F10" s="207">
        <f>D10-E10</f>
        <v>0</v>
      </c>
      <c r="G10" s="207"/>
      <c r="H10" s="8">
        <f>C10-F10</f>
        <v>0</v>
      </c>
      <c r="I10" s="207"/>
      <c r="J10" s="207">
        <f>F10+I10</f>
        <v>0</v>
      </c>
      <c r="K10" s="207">
        <f>C10-G10</f>
        <v>0</v>
      </c>
    </row>
    <row r="11" spans="1:11" s="2" customFormat="1" x14ac:dyDescent="0.25">
      <c r="A11" s="6"/>
      <c r="B11" s="6" t="s">
        <v>29</v>
      </c>
      <c r="C11" s="18">
        <f t="shared" ref="C11:J11" si="1">C6+C9+C10</f>
        <v>541961500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223872250.00000009</v>
      </c>
      <c r="H11" s="18">
        <f t="shared" si="1"/>
        <v>541961500</v>
      </c>
      <c r="I11" s="18">
        <f t="shared" si="1"/>
        <v>318089249.99999988</v>
      </c>
      <c r="J11" s="18">
        <f t="shared" si="1"/>
        <v>-318089249.99999988</v>
      </c>
      <c r="K11" s="18">
        <f>K6+K9+K10</f>
        <v>318089249.99999988</v>
      </c>
    </row>
    <row r="12" spans="1:11" s="2" customFormat="1" x14ac:dyDescent="0.25">
      <c r="A12" s="6">
        <v>2</v>
      </c>
      <c r="B12" s="31" t="s">
        <v>106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" customFormat="1" x14ac:dyDescent="0.25">
      <c r="A13" s="6"/>
      <c r="B13" s="32" t="s">
        <v>21</v>
      </c>
      <c r="C13" s="18"/>
      <c r="D13" s="18"/>
      <c r="E13" s="18"/>
      <c r="F13" s="207">
        <f>D13-E13</f>
        <v>0</v>
      </c>
      <c r="G13" s="18">
        <f>1/12*C13</f>
        <v>0</v>
      </c>
      <c r="H13" s="8">
        <f>C13-F13</f>
        <v>0</v>
      </c>
      <c r="I13" s="207"/>
      <c r="J13" s="207">
        <f>F13+I13</f>
        <v>0</v>
      </c>
      <c r="K13" s="207">
        <f>H13-G13</f>
        <v>0</v>
      </c>
    </row>
    <row r="14" spans="1:11" s="2" customFormat="1" x14ac:dyDescent="0.25">
      <c r="A14" s="6"/>
      <c r="B14" s="208" t="s">
        <v>319</v>
      </c>
      <c r="C14" s="18"/>
      <c r="D14" s="18"/>
      <c r="E14" s="18"/>
      <c r="F14" s="207">
        <f>D14-E14</f>
        <v>0</v>
      </c>
      <c r="G14" s="18"/>
      <c r="H14" s="8">
        <f>C14-F14</f>
        <v>0</v>
      </c>
      <c r="I14" s="207"/>
      <c r="J14" s="207">
        <f>F14+I14</f>
        <v>0</v>
      </c>
      <c r="K14" s="207">
        <f>C14-G14</f>
        <v>0</v>
      </c>
    </row>
    <row r="15" spans="1:11" s="2" customFormat="1" x14ac:dyDescent="0.25">
      <c r="A15" s="6"/>
      <c r="B15" s="208" t="s">
        <v>538</v>
      </c>
      <c r="C15" s="18"/>
      <c r="D15" s="18"/>
      <c r="E15" s="18"/>
      <c r="F15" s="207">
        <f>D15-E15</f>
        <v>0</v>
      </c>
      <c r="G15" s="18"/>
      <c r="H15" s="8">
        <f>C15-F15</f>
        <v>0</v>
      </c>
      <c r="I15" s="207"/>
      <c r="J15" s="207">
        <f>F15+I15</f>
        <v>0</v>
      </c>
      <c r="K15" s="207">
        <f>C15-G15</f>
        <v>0</v>
      </c>
    </row>
    <row r="16" spans="1:11" s="2" customFormat="1" x14ac:dyDescent="0.25">
      <c r="A16" s="6"/>
      <c r="B16" s="6" t="s">
        <v>29</v>
      </c>
      <c r="C16" s="18">
        <f>SUM(C13:C15)</f>
        <v>0</v>
      </c>
      <c r="D16" s="18">
        <f t="shared" ref="D16:K16" si="2">SUM(D13:D15)</f>
        <v>0</v>
      </c>
      <c r="E16" s="18">
        <f t="shared" si="2"/>
        <v>0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</row>
    <row r="17" spans="1:11" s="2" customFormat="1" x14ac:dyDescent="0.25">
      <c r="A17" s="6"/>
      <c r="B17" s="6" t="s">
        <v>28</v>
      </c>
      <c r="C17" s="18">
        <f>+C11+C16</f>
        <v>541961500</v>
      </c>
      <c r="D17" s="18">
        <f t="shared" ref="D17:K17" si="3">+D11+D16</f>
        <v>0</v>
      </c>
      <c r="E17" s="18">
        <f t="shared" si="3"/>
        <v>0</v>
      </c>
      <c r="F17" s="18">
        <f t="shared" si="3"/>
        <v>0</v>
      </c>
      <c r="G17" s="18">
        <f>+G11+G16</f>
        <v>223872250.00000009</v>
      </c>
      <c r="H17" s="18">
        <f t="shared" si="3"/>
        <v>541961500</v>
      </c>
      <c r="I17" s="18">
        <f t="shared" si="3"/>
        <v>318089249.99999988</v>
      </c>
      <c r="J17" s="18">
        <f t="shared" si="3"/>
        <v>-318089249.99999988</v>
      </c>
      <c r="K17" s="18">
        <f t="shared" si="3"/>
        <v>318089249.99999988</v>
      </c>
    </row>
    <row r="18" spans="1:11" x14ac:dyDescent="0.25">
      <c r="C18" s="3">
        <v>541961500</v>
      </c>
    </row>
    <row r="19" spans="1:11" x14ac:dyDescent="0.25">
      <c r="C19" s="3">
        <f>+C17-C18</f>
        <v>0</v>
      </c>
    </row>
  </sheetData>
  <sheetProtection algorithmName="SHA-512" hashValue="VbcvO8rx4ZjkCW1EObBZg/YRkeQp3HvCRQ9WF1o7DGRG7liIvswQuKhdxg4Xv8nLTQy54wQsVr4bEgr1F/VGCg==" saltValue="3QbLg6hZGGPLyxRSCXJjCg==" spinCount="100000" sheet="1" objects="1" scenarios="1"/>
  <mergeCells count="1">
    <mergeCell ref="A1:K1"/>
  </mergeCells>
  <pageMargins left="0.31496062992125984" right="0.31496062992125984" top="0.74803149606299213" bottom="0.74803149606299213" header="0.31496062992125984" footer="0.31496062992125984"/>
  <pageSetup paperSize="258" scale="61" orientation="landscape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7030A0"/>
  </sheetPr>
  <dimension ref="A1:H93"/>
  <sheetViews>
    <sheetView view="pageBreakPreview" zoomScale="55" zoomScaleNormal="60" zoomScaleSheetLayoutView="55" workbookViewId="0">
      <pane xSplit="4" ySplit="6" topLeftCell="E22" activePane="bottomRight" state="frozen"/>
      <selection activeCell="K49" sqref="K49"/>
      <selection pane="topRight" activeCell="K49" sqref="K49"/>
      <selection pane="bottomLeft" activeCell="K49" sqref="K49"/>
      <selection pane="bottomRight" activeCell="E40" sqref="E40"/>
    </sheetView>
  </sheetViews>
  <sheetFormatPr defaultColWidth="9.140625" defaultRowHeight="11.25" x14ac:dyDescent="0.25"/>
  <cols>
    <col min="1" max="1" width="7.7109375" style="110" customWidth="1"/>
    <col min="2" max="2" width="84.42578125" style="110" customWidth="1"/>
    <col min="3" max="3" width="21.5703125" style="334" bestFit="1" customWidth="1"/>
    <col min="4" max="4" width="23.85546875" style="334" customWidth="1"/>
    <col min="5" max="5" width="130.5703125" style="335" customWidth="1"/>
    <col min="6" max="6" width="27" style="110" bestFit="1" customWidth="1"/>
    <col min="7" max="8" width="26.5703125" style="110" bestFit="1" customWidth="1"/>
    <col min="9" max="16384" width="9.140625" style="110"/>
  </cols>
  <sheetData>
    <row r="1" spans="1:8" s="106" customFormat="1" ht="30" x14ac:dyDescent="0.25">
      <c r="A1" s="706" t="s">
        <v>328</v>
      </c>
      <c r="B1" s="706"/>
      <c r="C1" s="706"/>
      <c r="D1" s="706"/>
      <c r="E1" s="706"/>
      <c r="F1" s="706"/>
      <c r="G1" s="706"/>
      <c r="H1" s="706"/>
    </row>
    <row r="2" spans="1:8" s="106" customFormat="1" ht="30" x14ac:dyDescent="0.25">
      <c r="A2" s="706" t="s">
        <v>872</v>
      </c>
      <c r="B2" s="706"/>
      <c r="C2" s="706"/>
      <c r="D2" s="706"/>
      <c r="E2" s="706"/>
      <c r="F2" s="706"/>
      <c r="G2" s="706"/>
      <c r="H2" s="706"/>
    </row>
    <row r="3" spans="1:8" s="109" customFormat="1" ht="27.75" x14ac:dyDescent="0.25">
      <c r="A3" s="107" t="s">
        <v>873</v>
      </c>
      <c r="B3" s="107"/>
      <c r="C3" s="347"/>
      <c r="D3" s="310"/>
      <c r="E3" s="310"/>
    </row>
    <row r="4" spans="1:8" x14ac:dyDescent="0.25">
      <c r="A4" s="312"/>
      <c r="B4" s="312"/>
      <c r="C4" s="311"/>
      <c r="D4" s="311"/>
      <c r="E4" s="313"/>
    </row>
    <row r="5" spans="1:8" s="314" customFormat="1" ht="36" x14ac:dyDescent="0.25">
      <c r="A5" s="254" t="s">
        <v>22</v>
      </c>
      <c r="B5" s="254" t="s">
        <v>23</v>
      </c>
      <c r="C5" s="251" t="s">
        <v>640</v>
      </c>
      <c r="D5" s="251" t="s">
        <v>639</v>
      </c>
      <c r="E5" s="114" t="s">
        <v>638</v>
      </c>
      <c r="F5" s="252" t="s">
        <v>650</v>
      </c>
      <c r="G5" s="253" t="s">
        <v>132</v>
      </c>
      <c r="H5" s="252" t="s">
        <v>140</v>
      </c>
    </row>
    <row r="6" spans="1:8" s="117" customFormat="1" ht="18.75" x14ac:dyDescent="0.25">
      <c r="A6" s="115">
        <v>1</v>
      </c>
      <c r="B6" s="116">
        <v>2</v>
      </c>
      <c r="C6" s="258">
        <v>3</v>
      </c>
      <c r="D6" s="256">
        <v>4</v>
      </c>
      <c r="E6" s="257">
        <v>5</v>
      </c>
      <c r="F6" s="258">
        <v>6</v>
      </c>
      <c r="G6" s="255">
        <v>7</v>
      </c>
      <c r="H6" s="255" t="s">
        <v>658</v>
      </c>
    </row>
    <row r="7" spans="1:8" s="319" customFormat="1" ht="21.75" x14ac:dyDescent="0.25">
      <c r="A7" s="316"/>
      <c r="B7" s="339" t="s">
        <v>641</v>
      </c>
      <c r="C7" s="315"/>
      <c r="D7" s="317"/>
      <c r="E7" s="317"/>
      <c r="F7" s="318"/>
      <c r="G7" s="318"/>
      <c r="H7" s="318"/>
    </row>
    <row r="8" spans="1:8" s="459" customFormat="1" ht="21.75" x14ac:dyDescent="0.25">
      <c r="A8" s="454">
        <v>1</v>
      </c>
      <c r="B8" s="449" t="s">
        <v>643</v>
      </c>
      <c r="C8" s="340"/>
      <c r="D8" s="320"/>
      <c r="E8" s="320"/>
      <c r="F8" s="121">
        <f>+F9</f>
        <v>98343000</v>
      </c>
      <c r="G8" s="121">
        <f t="shared" ref="G8:H8" si="0">+G9</f>
        <v>90147750.00000003</v>
      </c>
      <c r="H8" s="121">
        <f t="shared" si="0"/>
        <v>8195249.9999999693</v>
      </c>
    </row>
    <row r="9" spans="1:8" s="319" customFormat="1" ht="21.75" x14ac:dyDescent="0.25">
      <c r="A9" s="322"/>
      <c r="B9" s="514" t="s">
        <v>876</v>
      </c>
      <c r="C9" s="340"/>
      <c r="D9" s="320"/>
      <c r="E9" s="320"/>
      <c r="F9" s="121">
        <f>+SUM(F10:F31)</f>
        <v>98343000</v>
      </c>
      <c r="G9" s="121">
        <f t="shared" ref="G9:H9" si="1">+SUM(G10:G31)</f>
        <v>90147750.00000003</v>
      </c>
      <c r="H9" s="121">
        <f t="shared" si="1"/>
        <v>8195249.9999999693</v>
      </c>
    </row>
    <row r="10" spans="1:8" s="319" customFormat="1" ht="21.75" x14ac:dyDescent="0.25">
      <c r="A10" s="322"/>
      <c r="B10" s="325" t="s">
        <v>877</v>
      </c>
      <c r="C10" s="323" t="s">
        <v>751</v>
      </c>
      <c r="D10" s="321" t="s">
        <v>878</v>
      </c>
      <c r="E10" s="512" t="s">
        <v>916</v>
      </c>
      <c r="F10" s="324">
        <v>6093750</v>
      </c>
      <c r="G10" s="120">
        <f>0.916666666666667*F10</f>
        <v>5585937.5000000019</v>
      </c>
      <c r="H10" s="120">
        <f t="shared" ref="H10:H31" si="2">+F10-G10</f>
        <v>507812.49999999814</v>
      </c>
    </row>
    <row r="11" spans="1:8" s="319" customFormat="1" ht="21.75" x14ac:dyDescent="0.25">
      <c r="A11" s="322"/>
      <c r="B11" s="325" t="s">
        <v>877</v>
      </c>
      <c r="C11" s="323" t="s">
        <v>751</v>
      </c>
      <c r="D11" s="321" t="s">
        <v>879</v>
      </c>
      <c r="E11" s="512" t="s">
        <v>916</v>
      </c>
      <c r="F11" s="324">
        <v>6093750</v>
      </c>
      <c r="G11" s="120">
        <f>0.916666666666667*F11</f>
        <v>5585937.5000000019</v>
      </c>
      <c r="H11" s="120">
        <f t="shared" si="2"/>
        <v>507812.49999999814</v>
      </c>
    </row>
    <row r="12" spans="1:8" s="319" customFormat="1" ht="21.75" x14ac:dyDescent="0.25">
      <c r="A12" s="322"/>
      <c r="B12" s="325" t="s">
        <v>880</v>
      </c>
      <c r="C12" s="323" t="s">
        <v>751</v>
      </c>
      <c r="D12" s="321" t="s">
        <v>881</v>
      </c>
      <c r="E12" s="512" t="s">
        <v>916</v>
      </c>
      <c r="F12" s="324">
        <v>7823150</v>
      </c>
      <c r="G12" s="120">
        <f t="shared" ref="G12:G31" si="3">0.916666666666667*F12</f>
        <v>7171220.8333333358</v>
      </c>
      <c r="H12" s="120">
        <f t="shared" si="2"/>
        <v>651929.16666666418</v>
      </c>
    </row>
    <row r="13" spans="1:8" s="319" customFormat="1" ht="21.75" x14ac:dyDescent="0.25">
      <c r="A13" s="322"/>
      <c r="B13" s="325" t="s">
        <v>882</v>
      </c>
      <c r="C13" s="323" t="s">
        <v>751</v>
      </c>
      <c r="D13" s="321" t="s">
        <v>883</v>
      </c>
      <c r="E13" s="512" t="s">
        <v>916</v>
      </c>
      <c r="F13" s="324">
        <v>6094900</v>
      </c>
      <c r="G13" s="120">
        <f t="shared" si="3"/>
        <v>5586991.6666666688</v>
      </c>
      <c r="H13" s="120">
        <f t="shared" si="2"/>
        <v>507908.33333333116</v>
      </c>
    </row>
    <row r="14" spans="1:8" s="319" customFormat="1" ht="21.75" x14ac:dyDescent="0.25">
      <c r="A14" s="322"/>
      <c r="B14" s="325" t="s">
        <v>884</v>
      </c>
      <c r="C14" s="323" t="s">
        <v>886</v>
      </c>
      <c r="D14" s="321" t="s">
        <v>885</v>
      </c>
      <c r="E14" s="512" t="s">
        <v>916</v>
      </c>
      <c r="F14" s="324">
        <v>6141250</v>
      </c>
      <c r="G14" s="120">
        <f t="shared" si="3"/>
        <v>5629479.1666666688</v>
      </c>
      <c r="H14" s="120">
        <f t="shared" si="2"/>
        <v>511770.83333333116</v>
      </c>
    </row>
    <row r="15" spans="1:8" s="319" customFormat="1" ht="21.75" x14ac:dyDescent="0.25">
      <c r="A15" s="322"/>
      <c r="B15" s="325" t="s">
        <v>887</v>
      </c>
      <c r="C15" s="323" t="s">
        <v>886</v>
      </c>
      <c r="D15" s="321" t="s">
        <v>888</v>
      </c>
      <c r="E15" s="512" t="s">
        <v>916</v>
      </c>
      <c r="F15" s="324">
        <v>3594600</v>
      </c>
      <c r="G15" s="120">
        <f t="shared" si="3"/>
        <v>3295050.0000000009</v>
      </c>
      <c r="H15" s="120">
        <f t="shared" si="2"/>
        <v>299549.99999999907</v>
      </c>
    </row>
    <row r="16" spans="1:8" s="319" customFormat="1" ht="21.75" x14ac:dyDescent="0.25">
      <c r="A16" s="322"/>
      <c r="B16" s="325" t="s">
        <v>889</v>
      </c>
      <c r="C16" s="323" t="s">
        <v>886</v>
      </c>
      <c r="D16" s="321" t="s">
        <v>890</v>
      </c>
      <c r="E16" s="512" t="s">
        <v>916</v>
      </c>
      <c r="F16" s="324">
        <v>5778850</v>
      </c>
      <c r="G16" s="120">
        <f t="shared" si="3"/>
        <v>5297279.1666666688</v>
      </c>
      <c r="H16" s="120">
        <f t="shared" si="2"/>
        <v>481570.83333333116</v>
      </c>
    </row>
    <row r="17" spans="1:8" s="319" customFormat="1" ht="21.75" x14ac:dyDescent="0.25">
      <c r="A17" s="322"/>
      <c r="B17" s="325" t="s">
        <v>891</v>
      </c>
      <c r="C17" s="323" t="s">
        <v>893</v>
      </c>
      <c r="D17" s="321" t="s">
        <v>892</v>
      </c>
      <c r="E17" s="512" t="s">
        <v>916</v>
      </c>
      <c r="F17" s="324">
        <v>5231250</v>
      </c>
      <c r="G17" s="120">
        <f t="shared" si="3"/>
        <v>4795312.5000000019</v>
      </c>
      <c r="H17" s="120">
        <f t="shared" si="2"/>
        <v>435937.49999999814</v>
      </c>
    </row>
    <row r="18" spans="1:8" s="319" customFormat="1" ht="21.75" x14ac:dyDescent="0.25">
      <c r="A18" s="322"/>
      <c r="B18" s="325" t="s">
        <v>891</v>
      </c>
      <c r="C18" s="323" t="s">
        <v>893</v>
      </c>
      <c r="D18" s="321" t="s">
        <v>894</v>
      </c>
      <c r="E18" s="512" t="s">
        <v>916</v>
      </c>
      <c r="F18" s="324">
        <v>5231250</v>
      </c>
      <c r="G18" s="120">
        <f t="shared" si="3"/>
        <v>4795312.5000000019</v>
      </c>
      <c r="H18" s="120">
        <f t="shared" si="2"/>
        <v>435937.49999999814</v>
      </c>
    </row>
    <row r="19" spans="1:8" s="319" customFormat="1" ht="21.75" x14ac:dyDescent="0.25">
      <c r="A19" s="322"/>
      <c r="B19" s="325" t="s">
        <v>895</v>
      </c>
      <c r="C19" s="323" t="s">
        <v>893</v>
      </c>
      <c r="D19" s="321" t="s">
        <v>896</v>
      </c>
      <c r="E19" s="512" t="s">
        <v>916</v>
      </c>
      <c r="F19" s="324">
        <v>3561975</v>
      </c>
      <c r="G19" s="120">
        <f t="shared" si="3"/>
        <v>3265143.7500000009</v>
      </c>
      <c r="H19" s="120">
        <f t="shared" si="2"/>
        <v>296831.24999999907</v>
      </c>
    </row>
    <row r="20" spans="1:8" s="319" customFormat="1" ht="21.75" x14ac:dyDescent="0.25">
      <c r="A20" s="322"/>
      <c r="B20" s="325" t="s">
        <v>897</v>
      </c>
      <c r="C20" s="323" t="s">
        <v>893</v>
      </c>
      <c r="D20" s="321" t="s">
        <v>898</v>
      </c>
      <c r="E20" s="512" t="s">
        <v>916</v>
      </c>
      <c r="F20" s="324">
        <v>3561975</v>
      </c>
      <c r="G20" s="120">
        <f t="shared" si="3"/>
        <v>3265143.7500000009</v>
      </c>
      <c r="H20" s="120">
        <f t="shared" si="2"/>
        <v>296831.24999999907</v>
      </c>
    </row>
    <row r="21" spans="1:8" s="319" customFormat="1" ht="21.75" x14ac:dyDescent="0.25">
      <c r="A21" s="322"/>
      <c r="B21" s="325" t="s">
        <v>897</v>
      </c>
      <c r="C21" s="323" t="s">
        <v>893</v>
      </c>
      <c r="D21" s="321" t="s">
        <v>899</v>
      </c>
      <c r="E21" s="512" t="s">
        <v>916</v>
      </c>
      <c r="F21" s="324">
        <v>3561975</v>
      </c>
      <c r="G21" s="120">
        <f t="shared" si="3"/>
        <v>3265143.7500000009</v>
      </c>
      <c r="H21" s="120">
        <f t="shared" si="2"/>
        <v>296831.24999999907</v>
      </c>
    </row>
    <row r="22" spans="1:8" s="319" customFormat="1" ht="21.75" x14ac:dyDescent="0.25">
      <c r="A22" s="322"/>
      <c r="B22" s="325" t="s">
        <v>900</v>
      </c>
      <c r="C22" s="323" t="s">
        <v>893</v>
      </c>
      <c r="D22" s="321" t="s">
        <v>901</v>
      </c>
      <c r="E22" s="512" t="s">
        <v>916</v>
      </c>
      <c r="F22" s="324">
        <v>3495500</v>
      </c>
      <c r="G22" s="120">
        <f t="shared" si="3"/>
        <v>3204208.3333333344</v>
      </c>
      <c r="H22" s="120">
        <f t="shared" si="2"/>
        <v>291291.66666666558</v>
      </c>
    </row>
    <row r="23" spans="1:8" s="319" customFormat="1" ht="21.75" x14ac:dyDescent="0.25">
      <c r="A23" s="322"/>
      <c r="B23" s="325" t="s">
        <v>902</v>
      </c>
      <c r="C23" s="323" t="s">
        <v>904</v>
      </c>
      <c r="D23" s="321" t="s">
        <v>903</v>
      </c>
      <c r="E23" s="512" t="s">
        <v>916</v>
      </c>
      <c r="F23" s="324">
        <v>3509250</v>
      </c>
      <c r="G23" s="120">
        <f t="shared" si="3"/>
        <v>3216812.5000000009</v>
      </c>
      <c r="H23" s="120">
        <f t="shared" si="2"/>
        <v>292437.49999999907</v>
      </c>
    </row>
    <row r="24" spans="1:8" s="319" customFormat="1" ht="21.75" x14ac:dyDescent="0.25">
      <c r="A24" s="322"/>
      <c r="B24" s="325" t="s">
        <v>902</v>
      </c>
      <c r="C24" s="323" t="s">
        <v>904</v>
      </c>
      <c r="D24" s="321" t="s">
        <v>905</v>
      </c>
      <c r="E24" s="512" t="s">
        <v>916</v>
      </c>
      <c r="F24" s="324">
        <v>3509250</v>
      </c>
      <c r="G24" s="120">
        <f t="shared" si="3"/>
        <v>3216812.5000000009</v>
      </c>
      <c r="H24" s="120">
        <f t="shared" si="2"/>
        <v>292437.49999999907</v>
      </c>
    </row>
    <row r="25" spans="1:8" s="319" customFormat="1" ht="21.75" x14ac:dyDescent="0.25">
      <c r="A25" s="322"/>
      <c r="B25" s="325" t="s">
        <v>902</v>
      </c>
      <c r="C25" s="323" t="s">
        <v>904</v>
      </c>
      <c r="D25" s="321" t="s">
        <v>906</v>
      </c>
      <c r="E25" s="512" t="s">
        <v>916</v>
      </c>
      <c r="F25" s="324">
        <v>3509250</v>
      </c>
      <c r="G25" s="120">
        <f t="shared" si="3"/>
        <v>3216812.5000000009</v>
      </c>
      <c r="H25" s="120">
        <f t="shared" si="2"/>
        <v>292437.49999999907</v>
      </c>
    </row>
    <row r="26" spans="1:8" s="319" customFormat="1" ht="21.75" x14ac:dyDescent="0.25">
      <c r="A26" s="322"/>
      <c r="B26" s="325" t="s">
        <v>907</v>
      </c>
      <c r="C26" s="323" t="s">
        <v>904</v>
      </c>
      <c r="D26" s="321" t="s">
        <v>908</v>
      </c>
      <c r="E26" s="512" t="s">
        <v>916</v>
      </c>
      <c r="F26" s="324">
        <v>3701950</v>
      </c>
      <c r="G26" s="120">
        <f t="shared" si="3"/>
        <v>3393454.1666666679</v>
      </c>
      <c r="H26" s="120">
        <f t="shared" si="2"/>
        <v>308495.83333333209</v>
      </c>
    </row>
    <row r="27" spans="1:8" s="319" customFormat="1" ht="21.75" x14ac:dyDescent="0.25">
      <c r="A27" s="322"/>
      <c r="B27" s="325" t="s">
        <v>874</v>
      </c>
      <c r="C27" s="323" t="s">
        <v>904</v>
      </c>
      <c r="D27" s="321" t="s">
        <v>875</v>
      </c>
      <c r="E27" s="512" t="s">
        <v>916</v>
      </c>
      <c r="F27" s="120">
        <v>3509250</v>
      </c>
      <c r="G27" s="120">
        <f t="shared" si="3"/>
        <v>3216812.5000000009</v>
      </c>
      <c r="H27" s="120">
        <f t="shared" si="2"/>
        <v>292437.49999999907</v>
      </c>
    </row>
    <row r="28" spans="1:8" s="319" customFormat="1" ht="21.75" x14ac:dyDescent="0.25">
      <c r="A28" s="322"/>
      <c r="B28" s="325" t="s">
        <v>909</v>
      </c>
      <c r="C28" s="323" t="s">
        <v>904</v>
      </c>
      <c r="D28" s="348" t="s">
        <v>910</v>
      </c>
      <c r="E28" s="512" t="s">
        <v>916</v>
      </c>
      <c r="F28" s="120">
        <v>3509275</v>
      </c>
      <c r="G28" s="120">
        <f t="shared" si="3"/>
        <v>3216835.4166666679</v>
      </c>
      <c r="H28" s="120">
        <f t="shared" si="2"/>
        <v>292439.58333333209</v>
      </c>
    </row>
    <row r="29" spans="1:8" s="319" customFormat="1" ht="21.75" x14ac:dyDescent="0.25">
      <c r="A29" s="322"/>
      <c r="B29" s="325" t="s">
        <v>911</v>
      </c>
      <c r="C29" s="354" t="s">
        <v>904</v>
      </c>
      <c r="D29" s="348" t="s">
        <v>912</v>
      </c>
      <c r="E29" s="512" t="s">
        <v>916</v>
      </c>
      <c r="F29" s="324">
        <v>3701950</v>
      </c>
      <c r="G29" s="120">
        <f t="shared" si="3"/>
        <v>3393454.1666666679</v>
      </c>
      <c r="H29" s="120">
        <f t="shared" si="2"/>
        <v>308495.83333333209</v>
      </c>
    </row>
    <row r="30" spans="1:8" s="319" customFormat="1" ht="21.75" x14ac:dyDescent="0.25">
      <c r="A30" s="322"/>
      <c r="B30" s="325" t="s">
        <v>913</v>
      </c>
      <c r="C30" s="354" t="s">
        <v>904</v>
      </c>
      <c r="D30" s="321" t="s">
        <v>914</v>
      </c>
      <c r="E30" s="512" t="s">
        <v>916</v>
      </c>
      <c r="F30" s="324">
        <v>3495500</v>
      </c>
      <c r="G30" s="120">
        <f t="shared" si="3"/>
        <v>3204208.3333333344</v>
      </c>
      <c r="H30" s="120">
        <f t="shared" si="2"/>
        <v>291291.66666666558</v>
      </c>
    </row>
    <row r="31" spans="1:8" s="319" customFormat="1" ht="21.75" x14ac:dyDescent="0.25">
      <c r="A31" s="322"/>
      <c r="B31" s="325" t="s">
        <v>909</v>
      </c>
      <c r="C31" s="323" t="s">
        <v>904</v>
      </c>
      <c r="D31" s="321" t="s">
        <v>915</v>
      </c>
      <c r="E31" s="512" t="s">
        <v>916</v>
      </c>
      <c r="F31" s="120">
        <v>3633150</v>
      </c>
      <c r="G31" s="120">
        <f t="shared" si="3"/>
        <v>3330387.5000000009</v>
      </c>
      <c r="H31" s="120">
        <f t="shared" si="2"/>
        <v>302762.49999999907</v>
      </c>
    </row>
    <row r="32" spans="1:8" s="319" customFormat="1" ht="21.75" x14ac:dyDescent="0.25">
      <c r="A32" s="322"/>
      <c r="B32" s="322"/>
      <c r="C32" s="321"/>
      <c r="D32" s="321"/>
      <c r="E32" s="323"/>
      <c r="F32" s="120"/>
      <c r="G32" s="120"/>
      <c r="H32" s="120"/>
    </row>
    <row r="33" spans="1:8" s="459" customFormat="1" ht="21.75" x14ac:dyDescent="0.25">
      <c r="A33" s="454">
        <v>2</v>
      </c>
      <c r="B33" s="449" t="s">
        <v>644</v>
      </c>
      <c r="C33" s="340"/>
      <c r="D33" s="340"/>
      <c r="E33" s="320"/>
      <c r="F33" s="121">
        <v>0</v>
      </c>
      <c r="G33" s="121">
        <v>0</v>
      </c>
      <c r="H33" s="121">
        <v>0</v>
      </c>
    </row>
    <row r="34" spans="1:8" s="319" customFormat="1" ht="21.75" x14ac:dyDescent="0.25">
      <c r="A34" s="322"/>
      <c r="B34" s="322"/>
      <c r="C34" s="321"/>
      <c r="D34" s="321"/>
      <c r="E34" s="323"/>
      <c r="F34" s="120"/>
      <c r="G34" s="120"/>
      <c r="H34" s="120"/>
    </row>
    <row r="35" spans="1:8" s="459" customFormat="1" ht="21.75" x14ac:dyDescent="0.25">
      <c r="A35" s="454">
        <v>3</v>
      </c>
      <c r="B35" s="449" t="s">
        <v>227</v>
      </c>
      <c r="C35" s="340"/>
      <c r="D35" s="340"/>
      <c r="E35" s="320"/>
      <c r="F35" s="121">
        <f>+F37+F45</f>
        <v>391465000</v>
      </c>
      <c r="G35" s="121">
        <f t="shared" ref="G35:H35" si="4">+G37+G45</f>
        <v>81571000.00000006</v>
      </c>
      <c r="H35" s="121">
        <f t="shared" si="4"/>
        <v>309893999.99999988</v>
      </c>
    </row>
    <row r="36" spans="1:8" s="459" customFormat="1" ht="21.75" x14ac:dyDescent="0.25">
      <c r="A36" s="454"/>
      <c r="B36" s="449"/>
      <c r="C36" s="340"/>
      <c r="D36" s="340"/>
      <c r="E36" s="320"/>
      <c r="F36" s="121"/>
      <c r="G36" s="121"/>
      <c r="H36" s="121"/>
    </row>
    <row r="37" spans="1:8" s="459" customFormat="1" ht="21.75" x14ac:dyDescent="0.25">
      <c r="A37" s="454"/>
      <c r="B37" s="454" t="s">
        <v>933</v>
      </c>
      <c r="C37" s="513"/>
      <c r="D37" s="513"/>
      <c r="E37" s="326"/>
      <c r="F37" s="119">
        <f>+SUM(F38:F43)</f>
        <v>195922000</v>
      </c>
      <c r="G37" s="119">
        <f>+SUM(G38:G43)</f>
        <v>48980500</v>
      </c>
      <c r="H37" s="119">
        <f>+F37-G37</f>
        <v>146941500</v>
      </c>
    </row>
    <row r="38" spans="1:8" s="319" customFormat="1" ht="43.5" x14ac:dyDescent="0.25">
      <c r="A38" s="322"/>
      <c r="B38" s="451" t="s">
        <v>917</v>
      </c>
      <c r="C38" s="321"/>
      <c r="D38" s="321"/>
      <c r="E38" s="512" t="s">
        <v>923</v>
      </c>
      <c r="F38" s="120">
        <v>92816450</v>
      </c>
      <c r="G38" s="120">
        <f>0.25*F38</f>
        <v>23204112.5</v>
      </c>
      <c r="H38" s="120">
        <f t="shared" ref="H38:H58" si="5">+F38-G38</f>
        <v>69612337.5</v>
      </c>
    </row>
    <row r="39" spans="1:8" s="319" customFormat="1" ht="43.5" x14ac:dyDescent="0.25">
      <c r="A39" s="322"/>
      <c r="B39" s="451" t="s">
        <v>918</v>
      </c>
      <c r="C39" s="321"/>
      <c r="D39" s="321"/>
      <c r="E39" s="512" t="s">
        <v>923</v>
      </c>
      <c r="F39" s="120">
        <v>34770450</v>
      </c>
      <c r="G39" s="120">
        <f t="shared" ref="G39:G43" si="6">0.25*F39</f>
        <v>8692612.5</v>
      </c>
      <c r="H39" s="120">
        <f t="shared" si="5"/>
        <v>26077837.5</v>
      </c>
    </row>
    <row r="40" spans="1:8" s="319" customFormat="1" ht="65.25" x14ac:dyDescent="0.25">
      <c r="A40" s="322"/>
      <c r="B40" s="451" t="s">
        <v>919</v>
      </c>
      <c r="C40" s="321"/>
      <c r="D40" s="321"/>
      <c r="E40" s="512" t="s">
        <v>923</v>
      </c>
      <c r="F40" s="120">
        <v>26603550</v>
      </c>
      <c r="G40" s="120">
        <f t="shared" si="6"/>
        <v>6650887.5</v>
      </c>
      <c r="H40" s="120">
        <f t="shared" si="5"/>
        <v>19952662.5</v>
      </c>
    </row>
    <row r="41" spans="1:8" s="319" customFormat="1" ht="65.25" x14ac:dyDescent="0.25">
      <c r="A41" s="322"/>
      <c r="B41" s="451" t="s">
        <v>920</v>
      </c>
      <c r="C41" s="321"/>
      <c r="D41" s="321"/>
      <c r="E41" s="512" t="s">
        <v>923</v>
      </c>
      <c r="F41" s="120">
        <v>13926750</v>
      </c>
      <c r="G41" s="120">
        <f t="shared" si="6"/>
        <v>3481687.5</v>
      </c>
      <c r="H41" s="120">
        <f t="shared" si="5"/>
        <v>10445062.5</v>
      </c>
    </row>
    <row r="42" spans="1:8" s="319" customFormat="1" ht="65.25" x14ac:dyDescent="0.25">
      <c r="A42" s="322"/>
      <c r="B42" s="451" t="s">
        <v>921</v>
      </c>
      <c r="C42" s="321"/>
      <c r="D42" s="321"/>
      <c r="E42" s="512" t="s">
        <v>923</v>
      </c>
      <c r="F42" s="120">
        <v>6065250</v>
      </c>
      <c r="G42" s="120">
        <f t="shared" si="6"/>
        <v>1516312.5</v>
      </c>
      <c r="H42" s="120">
        <f t="shared" si="5"/>
        <v>4548937.5</v>
      </c>
    </row>
    <row r="43" spans="1:8" s="319" customFormat="1" ht="65.25" x14ac:dyDescent="0.25">
      <c r="A43" s="322"/>
      <c r="B43" s="451" t="s">
        <v>922</v>
      </c>
      <c r="C43" s="321"/>
      <c r="D43" s="321"/>
      <c r="E43" s="512" t="s">
        <v>923</v>
      </c>
      <c r="F43" s="120">
        <v>21739550</v>
      </c>
      <c r="G43" s="120">
        <f t="shared" si="6"/>
        <v>5434887.5</v>
      </c>
      <c r="H43" s="120">
        <f t="shared" si="5"/>
        <v>16304662.5</v>
      </c>
    </row>
    <row r="44" spans="1:8" s="319" customFormat="1" ht="21.75" x14ac:dyDescent="0.25">
      <c r="A44" s="322"/>
      <c r="B44" s="322"/>
      <c r="C44" s="321"/>
      <c r="D44" s="321"/>
      <c r="E44" s="323"/>
      <c r="F44" s="120"/>
      <c r="G44" s="120"/>
      <c r="H44" s="119"/>
    </row>
    <row r="45" spans="1:8" s="459" customFormat="1" ht="21.75" x14ac:dyDescent="0.25">
      <c r="A45" s="454"/>
      <c r="B45" s="454" t="s">
        <v>934</v>
      </c>
      <c r="C45" s="513"/>
      <c r="D45" s="513"/>
      <c r="E45" s="326"/>
      <c r="F45" s="119">
        <f>+SUM(F46:F54)</f>
        <v>195543000</v>
      </c>
      <c r="G45" s="119">
        <f t="shared" ref="G45:H45" si="7">+SUM(G46:G54)</f>
        <v>32590500.000000067</v>
      </c>
      <c r="H45" s="119">
        <f t="shared" si="7"/>
        <v>162952499.99999991</v>
      </c>
    </row>
    <row r="46" spans="1:8" s="319" customFormat="1" ht="65.25" x14ac:dyDescent="0.25">
      <c r="A46" s="322"/>
      <c r="B46" s="451" t="s">
        <v>924</v>
      </c>
      <c r="C46" s="321"/>
      <c r="D46" s="321"/>
      <c r="E46" s="512" t="s">
        <v>935</v>
      </c>
      <c r="F46" s="120">
        <v>29850100</v>
      </c>
      <c r="G46" s="120">
        <f>0.166666666666667*F46</f>
        <v>4975016.6666666763</v>
      </c>
      <c r="H46" s="120">
        <f t="shared" si="5"/>
        <v>24875083.333333325</v>
      </c>
    </row>
    <row r="47" spans="1:8" s="319" customFormat="1" ht="43.5" x14ac:dyDescent="0.25">
      <c r="A47" s="322"/>
      <c r="B47" s="451" t="s">
        <v>925</v>
      </c>
      <c r="C47" s="321"/>
      <c r="D47" s="321"/>
      <c r="E47" s="512" t="s">
        <v>935</v>
      </c>
      <c r="F47" s="120">
        <v>22079400</v>
      </c>
      <c r="G47" s="120">
        <f t="shared" ref="G47:G54" si="8">0.166666666666667*F47</f>
        <v>3679900.000000007</v>
      </c>
      <c r="H47" s="120">
        <f t="shared" si="5"/>
        <v>18399499.999999993</v>
      </c>
    </row>
    <row r="48" spans="1:8" s="319" customFormat="1" ht="21.75" x14ac:dyDescent="0.25">
      <c r="A48" s="322"/>
      <c r="B48" s="451" t="s">
        <v>926</v>
      </c>
      <c r="C48" s="321"/>
      <c r="D48" s="321"/>
      <c r="E48" s="512" t="s">
        <v>935</v>
      </c>
      <c r="F48" s="120">
        <v>5424600</v>
      </c>
      <c r="G48" s="120">
        <f t="shared" si="8"/>
        <v>904100.00000000175</v>
      </c>
      <c r="H48" s="120">
        <f t="shared" si="5"/>
        <v>4520499.9999999981</v>
      </c>
    </row>
    <row r="49" spans="1:8" s="319" customFormat="1" ht="21.75" x14ac:dyDescent="0.25">
      <c r="A49" s="322"/>
      <c r="B49" s="451" t="s">
        <v>927</v>
      </c>
      <c r="C49" s="321"/>
      <c r="D49" s="321"/>
      <c r="E49" s="512" t="s">
        <v>935</v>
      </c>
      <c r="F49" s="120">
        <v>14988500</v>
      </c>
      <c r="G49" s="120">
        <f t="shared" si="8"/>
        <v>2498083.3333333381</v>
      </c>
      <c r="H49" s="120">
        <f t="shared" si="5"/>
        <v>12490416.666666662</v>
      </c>
    </row>
    <row r="50" spans="1:8" s="319" customFormat="1" ht="43.5" x14ac:dyDescent="0.25">
      <c r="A50" s="322"/>
      <c r="B50" s="451" t="s">
        <v>928</v>
      </c>
      <c r="C50" s="321"/>
      <c r="D50" s="321"/>
      <c r="E50" s="512" t="s">
        <v>935</v>
      </c>
      <c r="F50" s="120">
        <v>56222800</v>
      </c>
      <c r="G50" s="120">
        <f t="shared" si="8"/>
        <v>9370466.6666666847</v>
      </c>
      <c r="H50" s="120">
        <f t="shared" si="5"/>
        <v>46852333.333333313</v>
      </c>
    </row>
    <row r="51" spans="1:8" s="319" customFormat="1" ht="43.5" x14ac:dyDescent="0.25">
      <c r="A51" s="322"/>
      <c r="B51" s="451" t="s">
        <v>929</v>
      </c>
      <c r="C51" s="321"/>
      <c r="D51" s="321"/>
      <c r="E51" s="512" t="s">
        <v>935</v>
      </c>
      <c r="F51" s="120">
        <v>10142800</v>
      </c>
      <c r="G51" s="120">
        <f t="shared" si="8"/>
        <v>1690466.66666667</v>
      </c>
      <c r="H51" s="120">
        <f t="shared" si="5"/>
        <v>8452333.3333333302</v>
      </c>
    </row>
    <row r="52" spans="1:8" s="319" customFormat="1" ht="43.5" x14ac:dyDescent="0.25">
      <c r="A52" s="322"/>
      <c r="B52" s="451" t="s">
        <v>930</v>
      </c>
      <c r="C52" s="321"/>
      <c r="D52" s="321"/>
      <c r="E52" s="512" t="s">
        <v>935</v>
      </c>
      <c r="F52" s="120">
        <v>25850000</v>
      </c>
      <c r="G52" s="120">
        <f t="shared" si="8"/>
        <v>4308333.3333333414</v>
      </c>
      <c r="H52" s="120">
        <f t="shared" si="5"/>
        <v>21541666.666666657</v>
      </c>
    </row>
    <row r="53" spans="1:8" s="319" customFormat="1" ht="43.5" x14ac:dyDescent="0.25">
      <c r="A53" s="322"/>
      <c r="B53" s="451" t="s">
        <v>931</v>
      </c>
      <c r="C53" s="321"/>
      <c r="D53" s="321"/>
      <c r="E53" s="512" t="s">
        <v>935</v>
      </c>
      <c r="F53" s="120">
        <v>10787900</v>
      </c>
      <c r="G53" s="120">
        <f t="shared" si="8"/>
        <v>1797983.3333333367</v>
      </c>
      <c r="H53" s="120">
        <f t="shared" si="5"/>
        <v>8989916.6666666642</v>
      </c>
    </row>
    <row r="54" spans="1:8" s="319" customFormat="1" ht="21.75" x14ac:dyDescent="0.25">
      <c r="A54" s="322"/>
      <c r="B54" s="451" t="s">
        <v>932</v>
      </c>
      <c r="C54" s="321"/>
      <c r="D54" s="321"/>
      <c r="E54" s="512" t="s">
        <v>935</v>
      </c>
      <c r="F54" s="120">
        <v>20196900</v>
      </c>
      <c r="G54" s="120">
        <f t="shared" si="8"/>
        <v>3366150.0000000065</v>
      </c>
      <c r="H54" s="120">
        <f t="shared" si="5"/>
        <v>16830749.999999993</v>
      </c>
    </row>
    <row r="55" spans="1:8" s="319" customFormat="1" ht="21.75" x14ac:dyDescent="0.25">
      <c r="A55" s="322"/>
      <c r="B55" s="322"/>
      <c r="C55" s="321"/>
      <c r="D55" s="321"/>
      <c r="E55" s="323"/>
      <c r="F55" s="120"/>
      <c r="G55" s="120"/>
      <c r="H55" s="119"/>
    </row>
    <row r="56" spans="1:8" s="459" customFormat="1" ht="21.75" x14ac:dyDescent="0.25">
      <c r="A56" s="454">
        <v>4</v>
      </c>
      <c r="B56" s="454" t="s">
        <v>319</v>
      </c>
      <c r="C56" s="513"/>
      <c r="D56" s="513"/>
      <c r="E56" s="326"/>
      <c r="F56" s="119">
        <f>SUM(F57:F57)</f>
        <v>0</v>
      </c>
      <c r="G56" s="119">
        <f>SUM(G57:G57)</f>
        <v>0</v>
      </c>
      <c r="H56" s="119">
        <f t="shared" si="5"/>
        <v>0</v>
      </c>
    </row>
    <row r="57" spans="1:8" s="319" customFormat="1" ht="21.75" x14ac:dyDescent="0.25">
      <c r="A57" s="322"/>
      <c r="B57" s="322"/>
      <c r="C57" s="321"/>
      <c r="D57" s="321"/>
      <c r="E57" s="323"/>
      <c r="F57" s="120"/>
      <c r="G57" s="120"/>
      <c r="H57" s="119"/>
    </row>
    <row r="58" spans="1:8" s="459" customFormat="1" ht="21.75" x14ac:dyDescent="0.25">
      <c r="A58" s="454">
        <v>5</v>
      </c>
      <c r="B58" s="454" t="s">
        <v>538</v>
      </c>
      <c r="C58" s="513"/>
      <c r="D58" s="513"/>
      <c r="E58" s="326"/>
      <c r="F58" s="119">
        <f>SUM(F59:F59)</f>
        <v>0</v>
      </c>
      <c r="G58" s="119">
        <f>SUM(G59:G59)</f>
        <v>0</v>
      </c>
      <c r="H58" s="119">
        <f t="shared" si="5"/>
        <v>0</v>
      </c>
    </row>
    <row r="59" spans="1:8" s="319" customFormat="1" ht="21.75" x14ac:dyDescent="0.25">
      <c r="A59" s="336"/>
      <c r="B59" s="327"/>
      <c r="C59" s="350"/>
      <c r="D59" s="350"/>
      <c r="E59" s="329"/>
      <c r="F59" s="330"/>
      <c r="G59" s="330"/>
      <c r="H59" s="119"/>
    </row>
    <row r="60" spans="1:8" s="338" customFormat="1" ht="21.75" x14ac:dyDescent="0.25">
      <c r="A60" s="337"/>
      <c r="B60" s="331" t="s">
        <v>362</v>
      </c>
      <c r="C60" s="331"/>
      <c r="D60" s="331"/>
      <c r="E60" s="332"/>
      <c r="F60" s="333">
        <f>F35+F33+F8+F56+F58</f>
        <v>489808000</v>
      </c>
      <c r="G60" s="333">
        <f>G35+G33+G8+G56+G58</f>
        <v>171718750.00000009</v>
      </c>
      <c r="H60" s="333">
        <f>H35+H33+H8+H56+H58</f>
        <v>318089249.99999982</v>
      </c>
    </row>
    <row r="61" spans="1:8" s="319" customFormat="1" ht="21.75" x14ac:dyDescent="0.25">
      <c r="A61" s="322"/>
      <c r="B61" s="325"/>
      <c r="C61" s="348"/>
      <c r="D61" s="348"/>
      <c r="E61" s="326"/>
      <c r="F61" s="119"/>
      <c r="G61" s="119"/>
      <c r="H61" s="119"/>
    </row>
    <row r="62" spans="1:8" s="319" customFormat="1" ht="21.75" x14ac:dyDescent="0.25">
      <c r="A62" s="322"/>
      <c r="B62" s="340" t="s">
        <v>642</v>
      </c>
      <c r="C62" s="340"/>
      <c r="D62" s="340"/>
      <c r="E62" s="320"/>
      <c r="F62" s="121"/>
      <c r="G62" s="121"/>
      <c r="H62" s="121"/>
    </row>
    <row r="63" spans="1:8" s="319" customFormat="1" ht="21.75" x14ac:dyDescent="0.25">
      <c r="A63" s="322">
        <v>1</v>
      </c>
      <c r="B63" s="322" t="s">
        <v>181</v>
      </c>
      <c r="C63" s="321"/>
      <c r="D63" s="321"/>
      <c r="E63" s="323"/>
      <c r="F63" s="120">
        <f>SUM(F64:F64)</f>
        <v>0</v>
      </c>
      <c r="G63" s="120">
        <f>SUM(G64:G64)</f>
        <v>0</v>
      </c>
      <c r="H63" s="120">
        <f>SUM(H64:H64)</f>
        <v>0</v>
      </c>
    </row>
    <row r="64" spans="1:8" s="319" customFormat="1" ht="21.75" x14ac:dyDescent="0.25">
      <c r="A64" s="322"/>
      <c r="B64" s="322"/>
      <c r="C64" s="321"/>
      <c r="D64" s="323"/>
      <c r="E64" s="323"/>
      <c r="F64" s="120"/>
      <c r="G64" s="120"/>
      <c r="H64" s="120">
        <f>+F64-G64</f>
        <v>0</v>
      </c>
    </row>
    <row r="65" spans="1:8" s="319" customFormat="1" ht="21.75" x14ac:dyDescent="0.25">
      <c r="A65" s="322">
        <v>2</v>
      </c>
      <c r="B65" s="322" t="s">
        <v>182</v>
      </c>
      <c r="C65" s="321"/>
      <c r="D65" s="323"/>
      <c r="E65" s="323"/>
      <c r="F65" s="120">
        <f>SUM(F66:F66)</f>
        <v>0</v>
      </c>
      <c r="G65" s="120">
        <f>SUM(G66:G66)</f>
        <v>0</v>
      </c>
      <c r="H65" s="120">
        <f>SUM(H66:H66)</f>
        <v>0</v>
      </c>
    </row>
    <row r="66" spans="1:8" s="319" customFormat="1" ht="21.75" x14ac:dyDescent="0.25">
      <c r="A66" s="322"/>
      <c r="B66" s="322"/>
      <c r="C66" s="321"/>
      <c r="D66" s="323"/>
      <c r="E66" s="323"/>
      <c r="F66" s="120"/>
      <c r="G66" s="120"/>
      <c r="H66" s="120">
        <f>+F66-G66</f>
        <v>0</v>
      </c>
    </row>
    <row r="67" spans="1:8" s="319" customFormat="1" ht="21.75" x14ac:dyDescent="0.25">
      <c r="A67" s="322">
        <v>3</v>
      </c>
      <c r="B67" s="322" t="s">
        <v>183</v>
      </c>
      <c r="C67" s="321"/>
      <c r="D67" s="323"/>
      <c r="E67" s="323"/>
      <c r="F67" s="120">
        <f>SUM(F68:F68)</f>
        <v>0</v>
      </c>
      <c r="G67" s="120">
        <f>SUM(G68:G68)</f>
        <v>0</v>
      </c>
      <c r="H67" s="120">
        <f>SUM(H68:H68)</f>
        <v>0</v>
      </c>
    </row>
    <row r="68" spans="1:8" s="319" customFormat="1" ht="21.75" x14ac:dyDescent="0.25">
      <c r="A68" s="342"/>
      <c r="B68" s="342"/>
      <c r="C68" s="349"/>
      <c r="D68" s="355"/>
      <c r="E68" s="355"/>
      <c r="F68" s="343"/>
      <c r="G68" s="343"/>
      <c r="H68" s="120">
        <f>+F68-G68</f>
        <v>0</v>
      </c>
    </row>
    <row r="69" spans="1:8" s="319" customFormat="1" ht="21.75" x14ac:dyDescent="0.25">
      <c r="A69" s="342">
        <v>4</v>
      </c>
      <c r="B69" s="344" t="s">
        <v>184</v>
      </c>
      <c r="C69" s="351"/>
      <c r="D69" s="356"/>
      <c r="E69" s="355"/>
      <c r="F69" s="343">
        <f>SUM(F70:F70)</f>
        <v>0</v>
      </c>
      <c r="G69" s="343">
        <f>SUM(G70:G70)</f>
        <v>0</v>
      </c>
      <c r="H69" s="343">
        <f>SUM(H70:H70)</f>
        <v>0</v>
      </c>
    </row>
    <row r="70" spans="1:8" s="319" customFormat="1" ht="21.75" x14ac:dyDescent="0.25">
      <c r="A70" s="336"/>
      <c r="B70" s="341"/>
      <c r="C70" s="350"/>
      <c r="D70" s="328"/>
      <c r="E70" s="329"/>
      <c r="F70" s="330"/>
      <c r="G70" s="330"/>
      <c r="H70" s="120">
        <f>+F70-G70</f>
        <v>0</v>
      </c>
    </row>
    <row r="71" spans="1:8" s="338" customFormat="1" ht="21.75" x14ac:dyDescent="0.25">
      <c r="A71" s="337"/>
      <c r="B71" s="331" t="s">
        <v>362</v>
      </c>
      <c r="C71" s="331"/>
      <c r="D71" s="332"/>
      <c r="E71" s="332"/>
      <c r="F71" s="333">
        <f>+F63+F65+F67+F69</f>
        <v>0</v>
      </c>
      <c r="G71" s="333">
        <f>+G63+G65+G67+G69</f>
        <v>0</v>
      </c>
      <c r="H71" s="333">
        <f>+H63+H65+H67+H69</f>
        <v>0</v>
      </c>
    </row>
    <row r="72" spans="1:8" ht="15" x14ac:dyDescent="0.25">
      <c r="B72" s="123"/>
      <c r="C72" s="126"/>
      <c r="D72" s="126"/>
      <c r="E72" s="127"/>
      <c r="F72" s="123"/>
      <c r="G72" s="123"/>
      <c r="H72" s="123"/>
    </row>
    <row r="73" spans="1:8" s="346" customFormat="1" ht="23.25" x14ac:dyDescent="0.25">
      <c r="B73" s="346" t="s">
        <v>645</v>
      </c>
      <c r="C73" s="352"/>
      <c r="D73" s="352"/>
      <c r="E73" s="357"/>
    </row>
    <row r="74" spans="1:8" s="345" customFormat="1" ht="23.25" x14ac:dyDescent="0.25">
      <c r="A74" s="345">
        <v>1</v>
      </c>
      <c r="B74" s="345" t="s">
        <v>637</v>
      </c>
      <c r="C74" s="353"/>
      <c r="D74" s="353"/>
      <c r="E74" s="358"/>
    </row>
    <row r="75" spans="1:8" s="345" customFormat="1" ht="23.25" x14ac:dyDescent="0.25">
      <c r="A75" s="345">
        <v>2</v>
      </c>
      <c r="B75" s="345" t="s">
        <v>646</v>
      </c>
      <c r="C75" s="353"/>
      <c r="D75" s="353"/>
      <c r="E75" s="358"/>
    </row>
    <row r="76" spans="1:8" s="345" customFormat="1" ht="23.25" x14ac:dyDescent="0.25">
      <c r="A76" s="345">
        <v>3</v>
      </c>
      <c r="B76" s="345" t="s">
        <v>647</v>
      </c>
      <c r="C76" s="353"/>
      <c r="D76" s="353"/>
      <c r="E76" s="358"/>
    </row>
    <row r="77" spans="1:8" s="345" customFormat="1" ht="23.25" x14ac:dyDescent="0.25">
      <c r="A77" s="345">
        <v>4</v>
      </c>
      <c r="B77" s="345" t="s">
        <v>648</v>
      </c>
      <c r="C77" s="353"/>
      <c r="D77" s="353"/>
      <c r="E77" s="358"/>
    </row>
    <row r="78" spans="1:8" s="345" customFormat="1" ht="23.25" x14ac:dyDescent="0.25">
      <c r="A78" s="345">
        <v>5</v>
      </c>
      <c r="B78" s="345" t="s">
        <v>649</v>
      </c>
      <c r="C78" s="353"/>
      <c r="D78" s="353"/>
      <c r="E78" s="358"/>
    </row>
    <row r="79" spans="1:8" s="345" customFormat="1" ht="23.25" x14ac:dyDescent="0.25">
      <c r="A79" s="345">
        <v>6</v>
      </c>
      <c r="B79" s="345" t="s">
        <v>651</v>
      </c>
      <c r="C79" s="353"/>
      <c r="D79" s="353"/>
      <c r="E79" s="358"/>
    </row>
    <row r="80" spans="1:8" s="345" customFormat="1" ht="23.25" x14ac:dyDescent="0.25">
      <c r="A80" s="345">
        <v>7</v>
      </c>
      <c r="B80" s="345" t="s">
        <v>652</v>
      </c>
      <c r="C80" s="353"/>
      <c r="D80" s="353"/>
      <c r="E80" s="358"/>
    </row>
    <row r="81" spans="1:8" s="345" customFormat="1" ht="23.25" x14ac:dyDescent="0.25">
      <c r="A81" s="345">
        <v>8</v>
      </c>
      <c r="B81" s="345" t="s">
        <v>653</v>
      </c>
      <c r="C81" s="353"/>
      <c r="D81" s="353"/>
      <c r="E81" s="358"/>
    </row>
    <row r="82" spans="1:8" s="345" customFormat="1" ht="23.25" x14ac:dyDescent="0.25">
      <c r="C82" s="353"/>
      <c r="D82" s="353"/>
      <c r="E82" s="358"/>
    </row>
    <row r="83" spans="1:8" s="345" customFormat="1" ht="23.25" x14ac:dyDescent="0.25">
      <c r="C83" s="353"/>
      <c r="D83" s="353"/>
      <c r="E83" s="358"/>
    </row>
    <row r="84" spans="1:8" s="345" customFormat="1" ht="23.25" x14ac:dyDescent="0.25">
      <c r="C84" s="353"/>
      <c r="D84" s="353"/>
      <c r="E84" s="358"/>
    </row>
    <row r="85" spans="1:8" s="345" customFormat="1" ht="23.25" x14ac:dyDescent="0.25">
      <c r="C85" s="353"/>
      <c r="D85" s="353"/>
      <c r="E85" s="358"/>
    </row>
    <row r="86" spans="1:8" s="345" customFormat="1" ht="23.25" x14ac:dyDescent="0.25">
      <c r="C86" s="353"/>
      <c r="D86" s="353"/>
      <c r="E86" s="358"/>
    </row>
    <row r="87" spans="1:8" s="345" customFormat="1" ht="23.25" x14ac:dyDescent="0.25">
      <c r="C87" s="353"/>
      <c r="D87" s="353"/>
      <c r="E87" s="358"/>
    </row>
    <row r="88" spans="1:8" s="345" customFormat="1" ht="23.25" x14ac:dyDescent="0.25">
      <c r="C88" s="353"/>
      <c r="D88" s="353"/>
      <c r="E88" s="358"/>
    </row>
    <row r="89" spans="1:8" s="345" customFormat="1" ht="23.25" x14ac:dyDescent="0.25">
      <c r="C89" s="353"/>
      <c r="D89" s="353"/>
      <c r="E89" s="358"/>
    </row>
    <row r="90" spans="1:8" s="345" customFormat="1" ht="23.25" x14ac:dyDescent="0.25">
      <c r="C90" s="353"/>
      <c r="D90" s="353"/>
      <c r="E90" s="358"/>
    </row>
    <row r="91" spans="1:8" s="345" customFormat="1" ht="23.25" x14ac:dyDescent="0.25">
      <c r="C91" s="353"/>
      <c r="D91" s="353"/>
      <c r="E91" s="358"/>
    </row>
    <row r="92" spans="1:8" s="345" customFormat="1" ht="23.25" x14ac:dyDescent="0.25">
      <c r="C92" s="353"/>
      <c r="D92" s="353"/>
      <c r="E92" s="358"/>
    </row>
    <row r="93" spans="1:8" ht="15" x14ac:dyDescent="0.25">
      <c r="B93" s="123"/>
      <c r="C93" s="126"/>
      <c r="D93" s="126"/>
      <c r="E93" s="127"/>
      <c r="F93" s="123"/>
      <c r="G93" s="123"/>
      <c r="H93" s="123"/>
    </row>
  </sheetData>
  <sheetProtection algorithmName="SHA-512" hashValue="HN5wJ+omJR2k4zKvyZDAR9EPEK04MujUXoSAwz2bQodbEg/gMMR1eiQ2XxKYvlxwk3TR1CewBJodwk08/356JQ==" saltValue="5E/PH6leqVZJ9C6489VBxQ==" spinCount="100000" sheet="1" objects="1" scenarios="1"/>
  <mergeCells count="2">
    <mergeCell ref="A1:H1"/>
    <mergeCell ref="A2:H2"/>
  </mergeCells>
  <printOptions horizontalCentered="1"/>
  <pageMargins left="0.39370078740157483" right="0.39370078740157483" top="0.78740157480314965" bottom="0.39370078740157483" header="0.31496062992125984" footer="0.31496062992125984"/>
  <pageSetup paperSize="258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92D050"/>
  </sheetPr>
  <dimension ref="A1:K49"/>
  <sheetViews>
    <sheetView view="pageBreakPreview" zoomScale="70" zoomScaleNormal="70" zoomScaleSheetLayoutView="70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RowHeight="15" x14ac:dyDescent="0.25"/>
  <cols>
    <col min="1" max="1" width="3.85546875" style="216" bestFit="1" customWidth="1"/>
    <col min="2" max="2" width="62.85546875" customWidth="1"/>
    <col min="3" max="11" width="20.28515625" style="3" customWidth="1"/>
  </cols>
  <sheetData>
    <row r="1" spans="1:11" s="17" customFormat="1" ht="21" x14ac:dyDescent="0.35">
      <c r="A1" s="847" t="s">
        <v>67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</row>
    <row r="3" spans="1:11" s="4" customFormat="1" ht="45" x14ac:dyDescent="0.25">
      <c r="A3" s="13" t="s">
        <v>22</v>
      </c>
      <c r="B3" s="13" t="s">
        <v>23</v>
      </c>
      <c r="C3" s="14" t="s">
        <v>25</v>
      </c>
      <c r="D3" s="85" t="s">
        <v>865</v>
      </c>
      <c r="E3" s="84" t="s">
        <v>624</v>
      </c>
      <c r="F3" s="85" t="s">
        <v>866</v>
      </c>
      <c r="G3" s="38" t="s">
        <v>867</v>
      </c>
      <c r="H3" s="38" t="s">
        <v>868</v>
      </c>
      <c r="I3" s="38" t="s">
        <v>869</v>
      </c>
      <c r="J3" s="15" t="s">
        <v>870</v>
      </c>
      <c r="K3" s="205" t="s">
        <v>140</v>
      </c>
    </row>
    <row r="4" spans="1:11" s="4" customFormat="1" x14ac:dyDescent="0.25">
      <c r="A4" s="13">
        <v>1</v>
      </c>
      <c r="B4" s="13">
        <v>2</v>
      </c>
      <c r="C4" s="16">
        <v>3</v>
      </c>
      <c r="D4" s="86">
        <v>4</v>
      </c>
      <c r="E4" s="86">
        <v>5</v>
      </c>
      <c r="F4" s="86" t="s">
        <v>138</v>
      </c>
      <c r="G4" s="39">
        <v>7</v>
      </c>
      <c r="H4" s="39" t="s">
        <v>661</v>
      </c>
      <c r="I4" s="39" t="s">
        <v>632</v>
      </c>
      <c r="J4" s="16" t="s">
        <v>633</v>
      </c>
      <c r="K4" s="242" t="s">
        <v>636</v>
      </c>
    </row>
    <row r="5" spans="1:11" s="1" customFormat="1" x14ac:dyDescent="0.25">
      <c r="A5" s="6">
        <v>1</v>
      </c>
      <c r="B5" s="7" t="s">
        <v>68</v>
      </c>
      <c r="C5" s="8"/>
      <c r="D5" s="8"/>
      <c r="E5" s="8"/>
      <c r="F5" s="8"/>
      <c r="G5" s="8"/>
      <c r="H5" s="8"/>
      <c r="I5" s="8"/>
      <c r="J5" s="8"/>
      <c r="K5" s="8"/>
    </row>
    <row r="6" spans="1:11" s="219" customFormat="1" x14ac:dyDescent="0.25">
      <c r="A6" s="218"/>
      <c r="B6" s="208" t="s">
        <v>524</v>
      </c>
      <c r="C6" s="482">
        <v>381300000</v>
      </c>
      <c r="D6" s="207"/>
      <c r="E6" s="207"/>
      <c r="F6" s="207">
        <f>+D6-E6</f>
        <v>0</v>
      </c>
      <c r="G6" s="207">
        <f>+C6</f>
        <v>381300000</v>
      </c>
      <c r="H6" s="207">
        <f t="shared" ref="H6:H11" si="0">C6-E6</f>
        <v>381300000</v>
      </c>
      <c r="I6" s="207">
        <f>+G6-H6</f>
        <v>0</v>
      </c>
      <c r="J6" s="207"/>
      <c r="K6" s="207">
        <f t="shared" ref="K6:K11" si="1">+H6-C6</f>
        <v>0</v>
      </c>
    </row>
    <row r="7" spans="1:11" s="219" customFormat="1" x14ac:dyDescent="0.25">
      <c r="A7" s="218"/>
      <c r="B7" s="208" t="s">
        <v>525</v>
      </c>
      <c r="C7" s="482">
        <v>219265000</v>
      </c>
      <c r="D7" s="207"/>
      <c r="E7" s="207"/>
      <c r="F7" s="482">
        <f t="shared" ref="F7:F11" si="2">+D7-E7</f>
        <v>0</v>
      </c>
      <c r="G7" s="482">
        <f t="shared" ref="G7:G11" si="3">+C7</f>
        <v>219265000</v>
      </c>
      <c r="H7" s="207">
        <f t="shared" si="0"/>
        <v>219265000</v>
      </c>
      <c r="I7" s="482">
        <f t="shared" ref="I7:I11" si="4">+G7-H7</f>
        <v>0</v>
      </c>
      <c r="J7" s="207"/>
      <c r="K7" s="207">
        <f t="shared" si="1"/>
        <v>0</v>
      </c>
    </row>
    <row r="8" spans="1:11" s="219" customFormat="1" x14ac:dyDescent="0.25">
      <c r="A8" s="218"/>
      <c r="B8" s="208" t="s">
        <v>526</v>
      </c>
      <c r="C8" s="482"/>
      <c r="D8" s="207"/>
      <c r="E8" s="207"/>
      <c r="F8" s="482">
        <f t="shared" si="2"/>
        <v>0</v>
      </c>
      <c r="G8" s="482">
        <f t="shared" si="3"/>
        <v>0</v>
      </c>
      <c r="H8" s="207">
        <f t="shared" si="0"/>
        <v>0</v>
      </c>
      <c r="I8" s="482">
        <f t="shared" si="4"/>
        <v>0</v>
      </c>
      <c r="J8" s="207"/>
      <c r="K8" s="207">
        <f t="shared" si="1"/>
        <v>0</v>
      </c>
    </row>
    <row r="9" spans="1:11" s="219" customFormat="1" x14ac:dyDescent="0.25">
      <c r="A9" s="218"/>
      <c r="B9" s="208" t="s">
        <v>527</v>
      </c>
      <c r="C9" s="482">
        <v>29000000</v>
      </c>
      <c r="D9" s="207"/>
      <c r="E9" s="207"/>
      <c r="F9" s="482">
        <f t="shared" si="2"/>
        <v>0</v>
      </c>
      <c r="G9" s="482">
        <f t="shared" si="3"/>
        <v>29000000</v>
      </c>
      <c r="H9" s="207">
        <f t="shared" si="0"/>
        <v>29000000</v>
      </c>
      <c r="I9" s="482">
        <f t="shared" si="4"/>
        <v>0</v>
      </c>
      <c r="J9" s="207"/>
      <c r="K9" s="207">
        <f t="shared" si="1"/>
        <v>0</v>
      </c>
    </row>
    <row r="10" spans="1:11" s="219" customFormat="1" x14ac:dyDescent="0.25">
      <c r="A10" s="218"/>
      <c r="B10" s="208" t="s">
        <v>528</v>
      </c>
      <c r="C10" s="482">
        <v>1954720000</v>
      </c>
      <c r="D10" s="207"/>
      <c r="E10" s="207"/>
      <c r="F10" s="482">
        <f t="shared" si="2"/>
        <v>0</v>
      </c>
      <c r="G10" s="482">
        <f t="shared" si="3"/>
        <v>1954720000</v>
      </c>
      <c r="H10" s="207">
        <f t="shared" si="0"/>
        <v>1954720000</v>
      </c>
      <c r="I10" s="482">
        <f t="shared" si="4"/>
        <v>0</v>
      </c>
      <c r="J10" s="207"/>
      <c r="K10" s="207">
        <f t="shared" si="1"/>
        <v>0</v>
      </c>
    </row>
    <row r="11" spans="1:11" s="219" customFormat="1" x14ac:dyDescent="0.25">
      <c r="A11" s="218"/>
      <c r="B11" s="208" t="s">
        <v>529</v>
      </c>
      <c r="C11" s="207"/>
      <c r="D11" s="207"/>
      <c r="E11" s="207"/>
      <c r="F11" s="482">
        <f t="shared" si="2"/>
        <v>0</v>
      </c>
      <c r="G11" s="482">
        <f t="shared" si="3"/>
        <v>0</v>
      </c>
      <c r="H11" s="207">
        <f t="shared" si="0"/>
        <v>0</v>
      </c>
      <c r="I11" s="482">
        <f t="shared" si="4"/>
        <v>0</v>
      </c>
      <c r="J11" s="207"/>
      <c r="K11" s="207">
        <f t="shared" si="1"/>
        <v>0</v>
      </c>
    </row>
    <row r="12" spans="1:11" s="2" customFormat="1" x14ac:dyDescent="0.25">
      <c r="A12" s="6"/>
      <c r="B12" s="6" t="s">
        <v>29</v>
      </c>
      <c r="C12" s="18">
        <f>SUM(C6:C11)</f>
        <v>2584285000</v>
      </c>
      <c r="D12" s="18">
        <f t="shared" ref="D12:K12" si="5">SUM(D6:D11)</f>
        <v>0</v>
      </c>
      <c r="E12" s="18">
        <f t="shared" si="5"/>
        <v>0</v>
      </c>
      <c r="F12" s="18">
        <f t="shared" si="5"/>
        <v>0</v>
      </c>
      <c r="G12" s="18">
        <f>SUM(G6:G11)</f>
        <v>2584285000</v>
      </c>
      <c r="H12" s="18">
        <f t="shared" si="5"/>
        <v>2584285000</v>
      </c>
      <c r="I12" s="18">
        <f t="shared" si="5"/>
        <v>0</v>
      </c>
      <c r="J12" s="18">
        <f t="shared" si="5"/>
        <v>0</v>
      </c>
      <c r="K12" s="18">
        <f t="shared" si="5"/>
        <v>0</v>
      </c>
    </row>
    <row r="13" spans="1:11" s="1" customFormat="1" x14ac:dyDescent="0.25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</row>
    <row r="14" spans="1:11" s="1" customFormat="1" x14ac:dyDescent="0.25">
      <c r="A14" s="6">
        <v>2</v>
      </c>
      <c r="B14" s="7" t="s">
        <v>71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s="219" customFormat="1" x14ac:dyDescent="0.25">
      <c r="A15" s="218"/>
      <c r="B15" s="208" t="s">
        <v>69</v>
      </c>
      <c r="C15" s="482">
        <v>393420000</v>
      </c>
      <c r="D15" s="207"/>
      <c r="E15" s="207"/>
      <c r="F15" s="482">
        <f t="shared" ref="F15:F16" si="6">+D15-E15</f>
        <v>0</v>
      </c>
      <c r="G15" s="482">
        <f t="shared" ref="G15:G16" si="7">+C15</f>
        <v>393420000</v>
      </c>
      <c r="H15" s="207">
        <f>C15-E15</f>
        <v>393420000</v>
      </c>
      <c r="I15" s="482">
        <f t="shared" ref="I15:I16" si="8">+G15-H15</f>
        <v>0</v>
      </c>
      <c r="J15" s="207"/>
      <c r="K15" s="207">
        <f>+H15-C15</f>
        <v>0</v>
      </c>
    </row>
    <row r="16" spans="1:11" s="219" customFormat="1" x14ac:dyDescent="0.25">
      <c r="A16" s="218"/>
      <c r="B16" s="208" t="s">
        <v>70</v>
      </c>
      <c r="C16" s="207"/>
      <c r="D16" s="207"/>
      <c r="E16" s="207"/>
      <c r="F16" s="482">
        <f t="shared" si="6"/>
        <v>0</v>
      </c>
      <c r="G16" s="482">
        <f t="shared" si="7"/>
        <v>0</v>
      </c>
      <c r="H16" s="207">
        <f>C16-E16</f>
        <v>0</v>
      </c>
      <c r="I16" s="482">
        <f t="shared" si="8"/>
        <v>0</v>
      </c>
      <c r="J16" s="207"/>
      <c r="K16" s="207">
        <f>+H16-C16</f>
        <v>0</v>
      </c>
    </row>
    <row r="17" spans="1:11" s="2" customFormat="1" x14ac:dyDescent="0.25">
      <c r="A17" s="6"/>
      <c r="B17" s="6" t="s">
        <v>29</v>
      </c>
      <c r="C17" s="18">
        <f>SUM(C15:C16)</f>
        <v>393420000</v>
      </c>
      <c r="D17" s="18">
        <f t="shared" ref="D17:K17" si="9">SUM(D15:D16)</f>
        <v>0</v>
      </c>
      <c r="E17" s="18">
        <f t="shared" si="9"/>
        <v>0</v>
      </c>
      <c r="F17" s="18">
        <f t="shared" si="9"/>
        <v>0</v>
      </c>
      <c r="G17" s="18">
        <f>SUM(G15:G16)</f>
        <v>393420000</v>
      </c>
      <c r="H17" s="18">
        <f t="shared" si="9"/>
        <v>393420000</v>
      </c>
      <c r="I17" s="18">
        <f t="shared" si="9"/>
        <v>0</v>
      </c>
      <c r="J17" s="18">
        <f t="shared" si="9"/>
        <v>0</v>
      </c>
      <c r="K17" s="18">
        <f t="shared" si="9"/>
        <v>0</v>
      </c>
    </row>
    <row r="18" spans="1:11" s="1" customFormat="1" x14ac:dyDescent="0.25">
      <c r="A18" s="6"/>
      <c r="B18" s="7"/>
      <c r="C18" s="8"/>
      <c r="D18" s="8"/>
      <c r="E18" s="8"/>
      <c r="F18" s="8"/>
      <c r="G18" s="8"/>
      <c r="H18" s="8"/>
      <c r="I18" s="8"/>
      <c r="J18" s="8"/>
      <c r="K18" s="8"/>
    </row>
    <row r="19" spans="1:11" s="1" customFormat="1" x14ac:dyDescent="0.25">
      <c r="A19" s="6">
        <v>3</v>
      </c>
      <c r="B19" s="7" t="s">
        <v>78</v>
      </c>
      <c r="C19" s="8"/>
      <c r="D19" s="8"/>
      <c r="E19" s="8"/>
      <c r="F19" s="8"/>
      <c r="G19" s="8"/>
      <c r="H19" s="8"/>
      <c r="I19" s="8"/>
      <c r="J19" s="8"/>
      <c r="K19" s="8"/>
    </row>
    <row r="20" spans="1:11" s="219" customFormat="1" x14ac:dyDescent="0.25">
      <c r="A20" s="218"/>
      <c r="B20" s="208" t="s">
        <v>530</v>
      </c>
      <c r="C20" s="207"/>
      <c r="D20" s="207"/>
      <c r="E20" s="207"/>
      <c r="F20" s="207"/>
      <c r="G20" s="207"/>
      <c r="H20" s="207">
        <f>C20-E20</f>
        <v>0</v>
      </c>
      <c r="I20" s="482">
        <f t="shared" ref="I20:I21" si="10">+G20-H20</f>
        <v>0</v>
      </c>
      <c r="J20" s="207"/>
      <c r="K20" s="207">
        <f>+H20-C20</f>
        <v>0</v>
      </c>
    </row>
    <row r="21" spans="1:11" s="1" customFormat="1" x14ac:dyDescent="0.25">
      <c r="A21" s="6"/>
      <c r="B21" s="208" t="s">
        <v>531</v>
      </c>
      <c r="C21" s="8"/>
      <c r="D21" s="8"/>
      <c r="E21" s="8"/>
      <c r="F21" s="8"/>
      <c r="G21" s="8"/>
      <c r="H21" s="207">
        <f>C21-E21</f>
        <v>0</v>
      </c>
      <c r="I21" s="482">
        <f t="shared" si="10"/>
        <v>0</v>
      </c>
      <c r="J21" s="8"/>
      <c r="K21" s="207">
        <f>+H21-C21</f>
        <v>0</v>
      </c>
    </row>
    <row r="22" spans="1:11" s="2" customFormat="1" x14ac:dyDescent="0.25">
      <c r="A22" s="6"/>
      <c r="B22" s="6" t="s">
        <v>29</v>
      </c>
      <c r="C22" s="18">
        <f>SUM(C21)</f>
        <v>0</v>
      </c>
      <c r="D22" s="18">
        <f t="shared" ref="D22:K22" si="11">SUM(D21)</f>
        <v>0</v>
      </c>
      <c r="E22" s="18">
        <f t="shared" si="11"/>
        <v>0</v>
      </c>
      <c r="F22" s="18">
        <f t="shared" si="11"/>
        <v>0</v>
      </c>
      <c r="G22" s="18">
        <f>SUM(G21)</f>
        <v>0</v>
      </c>
      <c r="H22" s="18">
        <f t="shared" si="11"/>
        <v>0</v>
      </c>
      <c r="I22" s="18">
        <f t="shared" si="11"/>
        <v>0</v>
      </c>
      <c r="J22" s="18">
        <f t="shared" si="11"/>
        <v>0</v>
      </c>
      <c r="K22" s="18">
        <f t="shared" si="11"/>
        <v>0</v>
      </c>
    </row>
    <row r="23" spans="1:11" s="1" customFormat="1" x14ac:dyDescent="0.25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</row>
    <row r="24" spans="1:11" s="1" customFormat="1" x14ac:dyDescent="0.25">
      <c r="A24" s="6">
        <v>4</v>
      </c>
      <c r="B24" s="7" t="s">
        <v>79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s="219" customFormat="1" x14ac:dyDescent="0.25">
      <c r="A25" s="218"/>
      <c r="B25" s="208" t="s">
        <v>532</v>
      </c>
      <c r="C25" s="207">
        <v>287190000</v>
      </c>
      <c r="D25" s="207"/>
      <c r="E25" s="207"/>
      <c r="F25" s="207">
        <f>D25-E25</f>
        <v>0</v>
      </c>
      <c r="G25" s="207">
        <f>+C25</f>
        <v>287190000</v>
      </c>
      <c r="H25" s="207">
        <f t="shared" ref="H25:H36" si="12">C25-E25</f>
        <v>287190000</v>
      </c>
      <c r="I25" s="207">
        <f>G25-H25</f>
        <v>0</v>
      </c>
      <c r="J25" s="207">
        <f>F25+I25</f>
        <v>0</v>
      </c>
      <c r="K25" s="207">
        <f t="shared" ref="K25:K36" si="13">+H25-C25</f>
        <v>0</v>
      </c>
    </row>
    <row r="26" spans="1:11" s="219" customFormat="1" x14ac:dyDescent="0.25">
      <c r="A26" s="218"/>
      <c r="B26" s="208" t="s">
        <v>533</v>
      </c>
      <c r="C26" s="207"/>
      <c r="D26" s="207"/>
      <c r="E26" s="207"/>
      <c r="F26" s="207">
        <f t="shared" ref="F26:F36" si="14">D26-E26</f>
        <v>0</v>
      </c>
      <c r="G26" s="482">
        <f t="shared" ref="G26:G36" si="15">+C26</f>
        <v>0</v>
      </c>
      <c r="H26" s="207">
        <f t="shared" si="12"/>
        <v>0</v>
      </c>
      <c r="I26" s="207">
        <f t="shared" ref="I26:I36" si="16">G26-H26</f>
        <v>0</v>
      </c>
      <c r="J26" s="207">
        <f t="shared" ref="J26:J36" si="17">F26+I26</f>
        <v>0</v>
      </c>
      <c r="K26" s="207">
        <f t="shared" si="13"/>
        <v>0</v>
      </c>
    </row>
    <row r="27" spans="1:11" s="219" customFormat="1" x14ac:dyDescent="0.25">
      <c r="A27" s="218"/>
      <c r="B27" s="208" t="s">
        <v>534</v>
      </c>
      <c r="C27" s="207"/>
      <c r="D27" s="207"/>
      <c r="E27" s="207"/>
      <c r="F27" s="207">
        <f t="shared" si="14"/>
        <v>0</v>
      </c>
      <c r="G27" s="482">
        <f t="shared" si="15"/>
        <v>0</v>
      </c>
      <c r="H27" s="207">
        <f t="shared" si="12"/>
        <v>0</v>
      </c>
      <c r="I27" s="207">
        <f t="shared" si="16"/>
        <v>0</v>
      </c>
      <c r="J27" s="207">
        <f t="shared" si="17"/>
        <v>0</v>
      </c>
      <c r="K27" s="207">
        <f t="shared" si="13"/>
        <v>0</v>
      </c>
    </row>
    <row r="28" spans="1:11" s="219" customFormat="1" x14ac:dyDescent="0.25">
      <c r="A28" s="218"/>
      <c r="B28" s="208" t="s">
        <v>535</v>
      </c>
      <c r="C28" s="207">
        <v>284710000</v>
      </c>
      <c r="D28" s="207"/>
      <c r="E28" s="207"/>
      <c r="F28" s="207">
        <f t="shared" si="14"/>
        <v>0</v>
      </c>
      <c r="G28" s="482">
        <f t="shared" si="15"/>
        <v>284710000</v>
      </c>
      <c r="H28" s="207">
        <f t="shared" si="12"/>
        <v>284710000</v>
      </c>
      <c r="I28" s="207">
        <f t="shared" si="16"/>
        <v>0</v>
      </c>
      <c r="J28" s="207">
        <f t="shared" si="17"/>
        <v>0</v>
      </c>
      <c r="K28" s="207">
        <f t="shared" si="13"/>
        <v>0</v>
      </c>
    </row>
    <row r="29" spans="1:11" s="219" customFormat="1" x14ac:dyDescent="0.25">
      <c r="A29" s="218"/>
      <c r="B29" s="208" t="s">
        <v>536</v>
      </c>
      <c r="C29" s="207">
        <v>1119641000</v>
      </c>
      <c r="D29" s="207"/>
      <c r="E29" s="207"/>
      <c r="F29" s="207">
        <f t="shared" si="14"/>
        <v>0</v>
      </c>
      <c r="G29" s="482">
        <f t="shared" si="15"/>
        <v>1119641000</v>
      </c>
      <c r="H29" s="207">
        <f t="shared" si="12"/>
        <v>1119641000</v>
      </c>
      <c r="I29" s="207">
        <f t="shared" si="16"/>
        <v>0</v>
      </c>
      <c r="J29" s="207">
        <f t="shared" si="17"/>
        <v>0</v>
      </c>
      <c r="K29" s="207">
        <f t="shared" si="13"/>
        <v>0</v>
      </c>
    </row>
    <row r="30" spans="1:11" s="219" customFormat="1" x14ac:dyDescent="0.25">
      <c r="A30" s="218"/>
      <c r="B30" s="208" t="s">
        <v>537</v>
      </c>
      <c r="C30" s="207">
        <v>66425000</v>
      </c>
      <c r="D30" s="207"/>
      <c r="E30" s="207"/>
      <c r="F30" s="207">
        <f t="shared" si="14"/>
        <v>0</v>
      </c>
      <c r="G30" s="482">
        <f t="shared" si="15"/>
        <v>66425000</v>
      </c>
      <c r="H30" s="207">
        <f t="shared" si="12"/>
        <v>66425000</v>
      </c>
      <c r="I30" s="207">
        <f t="shared" si="16"/>
        <v>0</v>
      </c>
      <c r="J30" s="207">
        <f t="shared" si="17"/>
        <v>0</v>
      </c>
      <c r="K30" s="207">
        <f t="shared" si="13"/>
        <v>0</v>
      </c>
    </row>
    <row r="31" spans="1:11" s="219" customFormat="1" x14ac:dyDescent="0.25">
      <c r="A31" s="218"/>
      <c r="B31" s="208" t="s">
        <v>72</v>
      </c>
      <c r="C31" s="207">
        <v>155000000</v>
      </c>
      <c r="D31" s="207"/>
      <c r="E31" s="207"/>
      <c r="F31" s="207">
        <f t="shared" si="14"/>
        <v>0</v>
      </c>
      <c r="G31" s="482">
        <f t="shared" si="15"/>
        <v>155000000</v>
      </c>
      <c r="H31" s="207">
        <f t="shared" si="12"/>
        <v>155000000</v>
      </c>
      <c r="I31" s="207">
        <f t="shared" si="16"/>
        <v>0</v>
      </c>
      <c r="J31" s="207">
        <f t="shared" si="17"/>
        <v>0</v>
      </c>
      <c r="K31" s="207">
        <f t="shared" si="13"/>
        <v>0</v>
      </c>
    </row>
    <row r="32" spans="1:11" s="219" customFormat="1" x14ac:dyDescent="0.25">
      <c r="A32" s="218"/>
      <c r="B32" s="208" t="s">
        <v>73</v>
      </c>
      <c r="C32" s="207">
        <v>794797000</v>
      </c>
      <c r="D32" s="207"/>
      <c r="E32" s="207"/>
      <c r="F32" s="207">
        <f t="shared" si="14"/>
        <v>0</v>
      </c>
      <c r="G32" s="482">
        <f t="shared" si="15"/>
        <v>794797000</v>
      </c>
      <c r="H32" s="207">
        <f t="shared" si="12"/>
        <v>794797000</v>
      </c>
      <c r="I32" s="207">
        <f t="shared" si="16"/>
        <v>0</v>
      </c>
      <c r="J32" s="207">
        <f t="shared" si="17"/>
        <v>0</v>
      </c>
      <c r="K32" s="207">
        <f t="shared" si="13"/>
        <v>0</v>
      </c>
    </row>
    <row r="33" spans="1:11" s="219" customFormat="1" x14ac:dyDescent="0.25">
      <c r="A33" s="218"/>
      <c r="B33" s="208" t="s">
        <v>74</v>
      </c>
      <c r="C33" s="207"/>
      <c r="D33" s="207"/>
      <c r="E33" s="207"/>
      <c r="F33" s="207">
        <f t="shared" si="14"/>
        <v>0</v>
      </c>
      <c r="G33" s="482">
        <f t="shared" si="15"/>
        <v>0</v>
      </c>
      <c r="H33" s="207">
        <f t="shared" si="12"/>
        <v>0</v>
      </c>
      <c r="I33" s="207">
        <f t="shared" si="16"/>
        <v>0</v>
      </c>
      <c r="J33" s="207">
        <f t="shared" si="17"/>
        <v>0</v>
      </c>
      <c r="K33" s="207">
        <f t="shared" si="13"/>
        <v>0</v>
      </c>
    </row>
    <row r="34" spans="1:11" s="219" customFormat="1" x14ac:dyDescent="0.25">
      <c r="A34" s="218"/>
      <c r="B34" s="208" t="s">
        <v>75</v>
      </c>
      <c r="C34" s="207"/>
      <c r="D34" s="207"/>
      <c r="E34" s="207"/>
      <c r="F34" s="207">
        <f t="shared" si="14"/>
        <v>0</v>
      </c>
      <c r="G34" s="482">
        <f t="shared" si="15"/>
        <v>0</v>
      </c>
      <c r="H34" s="207">
        <f t="shared" si="12"/>
        <v>0</v>
      </c>
      <c r="I34" s="207">
        <f t="shared" si="16"/>
        <v>0</v>
      </c>
      <c r="J34" s="207">
        <f t="shared" si="17"/>
        <v>0</v>
      </c>
      <c r="K34" s="207">
        <f t="shared" si="13"/>
        <v>0</v>
      </c>
    </row>
    <row r="35" spans="1:11" s="219" customFormat="1" x14ac:dyDescent="0.25">
      <c r="A35" s="218"/>
      <c r="B35" s="208" t="s">
        <v>76</v>
      </c>
      <c r="C35" s="207"/>
      <c r="D35" s="207"/>
      <c r="E35" s="207"/>
      <c r="F35" s="207">
        <f t="shared" si="14"/>
        <v>0</v>
      </c>
      <c r="G35" s="482">
        <f t="shared" si="15"/>
        <v>0</v>
      </c>
      <c r="H35" s="207">
        <f t="shared" si="12"/>
        <v>0</v>
      </c>
      <c r="I35" s="207">
        <f t="shared" si="16"/>
        <v>0</v>
      </c>
      <c r="J35" s="207">
        <f t="shared" si="17"/>
        <v>0</v>
      </c>
      <c r="K35" s="207">
        <f t="shared" si="13"/>
        <v>0</v>
      </c>
    </row>
    <row r="36" spans="1:11" s="219" customFormat="1" x14ac:dyDescent="0.25">
      <c r="A36" s="218"/>
      <c r="B36" s="208" t="s">
        <v>77</v>
      </c>
      <c r="C36" s="207"/>
      <c r="D36" s="207"/>
      <c r="E36" s="207"/>
      <c r="F36" s="207">
        <f t="shared" si="14"/>
        <v>0</v>
      </c>
      <c r="G36" s="482">
        <f t="shared" si="15"/>
        <v>0</v>
      </c>
      <c r="H36" s="207">
        <f t="shared" si="12"/>
        <v>0</v>
      </c>
      <c r="I36" s="207">
        <f t="shared" si="16"/>
        <v>0</v>
      </c>
      <c r="J36" s="207">
        <f t="shared" si="17"/>
        <v>0</v>
      </c>
      <c r="K36" s="207">
        <f t="shared" si="13"/>
        <v>0</v>
      </c>
    </row>
    <row r="37" spans="1:11" s="2" customFormat="1" x14ac:dyDescent="0.25">
      <c r="A37" s="6"/>
      <c r="B37" s="6" t="s">
        <v>29</v>
      </c>
      <c r="C37" s="18">
        <f>SUM(C25:C36)</f>
        <v>2707763000</v>
      </c>
      <c r="D37" s="18">
        <f t="shared" ref="D37:K37" si="18">SUM(D25:D36)</f>
        <v>0</v>
      </c>
      <c r="E37" s="18">
        <f t="shared" si="18"/>
        <v>0</v>
      </c>
      <c r="F37" s="18">
        <f t="shared" si="18"/>
        <v>0</v>
      </c>
      <c r="G37" s="18">
        <f>SUM(G25:G36)</f>
        <v>2707763000</v>
      </c>
      <c r="H37" s="18">
        <f t="shared" si="18"/>
        <v>2707763000</v>
      </c>
      <c r="I37" s="18">
        <f t="shared" si="18"/>
        <v>0</v>
      </c>
      <c r="J37" s="18">
        <f t="shared" si="18"/>
        <v>0</v>
      </c>
      <c r="K37" s="18">
        <f t="shared" si="18"/>
        <v>0</v>
      </c>
    </row>
    <row r="38" spans="1:11" s="2" customFormat="1" x14ac:dyDescent="0.25">
      <c r="A38" s="6"/>
      <c r="B38" s="6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2" customFormat="1" x14ac:dyDescent="0.25">
      <c r="A39" s="6">
        <v>5</v>
      </c>
      <c r="B39" s="31" t="s">
        <v>106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1:11" s="222" customFormat="1" x14ac:dyDescent="0.25">
      <c r="A40" s="218"/>
      <c r="B40" s="220" t="s">
        <v>181</v>
      </c>
      <c r="C40" s="221"/>
      <c r="D40" s="221"/>
      <c r="E40" s="221"/>
      <c r="F40" s="207">
        <f>D40-E40</f>
        <v>0</v>
      </c>
      <c r="G40" s="221"/>
      <c r="H40" s="221"/>
      <c r="I40" s="207">
        <f>G40-H40</f>
        <v>0</v>
      </c>
      <c r="J40" s="207">
        <f>F40+I40</f>
        <v>0</v>
      </c>
      <c r="K40" s="207">
        <f>+H40-C40</f>
        <v>0</v>
      </c>
    </row>
    <row r="41" spans="1:11" s="222" customFormat="1" x14ac:dyDescent="0.25">
      <c r="A41" s="218"/>
      <c r="B41" s="220" t="s">
        <v>182</v>
      </c>
      <c r="C41" s="221"/>
      <c r="D41" s="221"/>
      <c r="E41" s="221"/>
      <c r="F41" s="207">
        <f>D41-E41</f>
        <v>0</v>
      </c>
      <c r="G41" s="221"/>
      <c r="H41" s="221"/>
      <c r="I41" s="207">
        <f>G41-H41</f>
        <v>0</v>
      </c>
      <c r="J41" s="207">
        <f>F41+I41</f>
        <v>0</v>
      </c>
      <c r="K41" s="207">
        <f>+H41-C41</f>
        <v>0</v>
      </c>
    </row>
    <row r="42" spans="1:11" s="222" customFormat="1" x14ac:dyDescent="0.25">
      <c r="A42" s="218"/>
      <c r="B42" s="220" t="s">
        <v>183</v>
      </c>
      <c r="C42" s="221"/>
      <c r="D42" s="221"/>
      <c r="E42" s="221"/>
      <c r="F42" s="207">
        <f>D42-E42</f>
        <v>0</v>
      </c>
      <c r="G42" s="221"/>
      <c r="H42" s="221"/>
      <c r="I42" s="207">
        <f>G42-H42</f>
        <v>0</v>
      </c>
      <c r="J42" s="207">
        <f>F42+I42</f>
        <v>0</v>
      </c>
      <c r="K42" s="207">
        <f>+H42-C42</f>
        <v>0</v>
      </c>
    </row>
    <row r="43" spans="1:11" s="2" customFormat="1" x14ac:dyDescent="0.25">
      <c r="A43" s="6"/>
      <c r="B43" s="220" t="s">
        <v>184</v>
      </c>
      <c r="C43" s="18"/>
      <c r="D43" s="18"/>
      <c r="E43" s="18"/>
      <c r="F43" s="207">
        <f>D43-E43</f>
        <v>0</v>
      </c>
      <c r="G43" s="18"/>
      <c r="H43" s="18"/>
      <c r="I43" s="207">
        <f>G43-H43</f>
        <v>0</v>
      </c>
      <c r="J43" s="207">
        <f>F43+I43</f>
        <v>0</v>
      </c>
      <c r="K43" s="207">
        <f>+H43-C43</f>
        <v>0</v>
      </c>
    </row>
    <row r="44" spans="1:11" s="2" customFormat="1" x14ac:dyDescent="0.25">
      <c r="A44" s="6"/>
      <c r="B44" s="6" t="s">
        <v>29</v>
      </c>
      <c r="C44" s="18">
        <f>SUM(C40:C43)</f>
        <v>0</v>
      </c>
      <c r="D44" s="18">
        <f t="shared" ref="D44:K44" si="19">SUM(D40:D43)</f>
        <v>0</v>
      </c>
      <c r="E44" s="18">
        <f t="shared" si="19"/>
        <v>0</v>
      </c>
      <c r="F44" s="18">
        <f t="shared" si="19"/>
        <v>0</v>
      </c>
      <c r="G44" s="18">
        <f>SUM(G40:G43)</f>
        <v>0</v>
      </c>
      <c r="H44" s="18">
        <f t="shared" si="19"/>
        <v>0</v>
      </c>
      <c r="I44" s="18">
        <f t="shared" si="19"/>
        <v>0</v>
      </c>
      <c r="J44" s="18">
        <f t="shared" si="19"/>
        <v>0</v>
      </c>
      <c r="K44" s="18">
        <f t="shared" si="19"/>
        <v>0</v>
      </c>
    </row>
    <row r="45" spans="1:11" s="2" customFormat="1" x14ac:dyDescent="0.25">
      <c r="A45" s="6"/>
      <c r="B45" s="6" t="s">
        <v>28</v>
      </c>
      <c r="C45" s="18">
        <f>+C37+C22+C17+C12+C44</f>
        <v>5685468000</v>
      </c>
      <c r="D45" s="18">
        <f t="shared" ref="D45:K45" si="20">+D37+D22+D17+D12+D44</f>
        <v>0</v>
      </c>
      <c r="E45" s="18">
        <f t="shared" si="20"/>
        <v>0</v>
      </c>
      <c r="F45" s="18">
        <f t="shared" si="20"/>
        <v>0</v>
      </c>
      <c r="G45" s="18">
        <f>+G37+G22+G17+G12+G44</f>
        <v>5685468000</v>
      </c>
      <c r="H45" s="18">
        <f t="shared" si="20"/>
        <v>5685468000</v>
      </c>
      <c r="I45" s="18">
        <f t="shared" si="20"/>
        <v>0</v>
      </c>
      <c r="J45" s="18">
        <f t="shared" si="20"/>
        <v>0</v>
      </c>
      <c r="K45" s="18">
        <f t="shared" si="20"/>
        <v>0</v>
      </c>
    </row>
    <row r="46" spans="1:11" x14ac:dyDescent="0.25">
      <c r="C46" s="3">
        <v>2584285000</v>
      </c>
    </row>
    <row r="47" spans="1:11" x14ac:dyDescent="0.25">
      <c r="C47" s="3">
        <v>393420000</v>
      </c>
    </row>
    <row r="48" spans="1:11" x14ac:dyDescent="0.25">
      <c r="C48" s="3">
        <v>2707763000</v>
      </c>
    </row>
    <row r="49" spans="3:3" x14ac:dyDescent="0.25">
      <c r="C49" s="3">
        <f>+C45-C46-C47-C48</f>
        <v>0</v>
      </c>
    </row>
  </sheetData>
  <sheetProtection algorithmName="SHA-512" hashValue="d1dQLNgl44xS8NeJg7qqcyvHuKwu2UtoPeGBI+Ac8XrhhlED7pTMqjnIjiWsVG43QRbgV73owHkMdncLeYNY/A==" saltValue="vHeyvlxS7xvQsuKa4vcW6A==" spinCount="100000" sheet="1" objects="1" scenarios="1"/>
  <mergeCells count="1">
    <mergeCell ref="A1:K1"/>
  </mergeCells>
  <printOptions horizontalCentered="1"/>
  <pageMargins left="0.31496062992125984" right="0.31496062992125984" top="0.35433070866141736" bottom="0.35433070866141736" header="0.31496062992125984" footer="0.31496062992125984"/>
  <pageSetup paperSize="258" scale="63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00B050"/>
  </sheetPr>
  <dimension ref="A1:J29"/>
  <sheetViews>
    <sheetView view="pageBreakPreview" zoomScale="70" zoomScaleNormal="7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5" sqref="I15"/>
    </sheetView>
  </sheetViews>
  <sheetFormatPr defaultRowHeight="15" x14ac:dyDescent="0.25"/>
  <cols>
    <col min="1" max="1" width="3.85546875" style="5" bestFit="1" customWidth="1"/>
    <col min="2" max="2" width="62.85546875" customWidth="1"/>
    <col min="3" max="5" width="20.28515625" style="3" customWidth="1"/>
    <col min="6" max="6" width="23.28515625" style="3" customWidth="1"/>
    <col min="7" max="10" width="26.28515625" customWidth="1"/>
  </cols>
  <sheetData>
    <row r="1" spans="1:10" s="17" customFormat="1" ht="21" x14ac:dyDescent="0.35">
      <c r="A1" s="847" t="s">
        <v>94</v>
      </c>
      <c r="B1" s="847"/>
      <c r="C1" s="847"/>
      <c r="D1" s="847"/>
      <c r="E1" s="847"/>
      <c r="F1" s="847"/>
      <c r="G1" s="847"/>
      <c r="H1" s="847"/>
      <c r="I1" s="847"/>
      <c r="J1" s="847"/>
    </row>
    <row r="3" spans="1:10" s="4" customFormat="1" ht="45" x14ac:dyDescent="0.25">
      <c r="A3" s="13" t="s">
        <v>22</v>
      </c>
      <c r="B3" s="13" t="s">
        <v>23</v>
      </c>
      <c r="C3" s="14" t="s">
        <v>25</v>
      </c>
      <c r="D3" s="85" t="s">
        <v>865</v>
      </c>
      <c r="E3" s="84" t="s">
        <v>624</v>
      </c>
      <c r="F3" s="85" t="s">
        <v>866</v>
      </c>
      <c r="G3" s="38" t="s">
        <v>867</v>
      </c>
      <c r="H3" s="38" t="s">
        <v>868</v>
      </c>
      <c r="I3" s="38" t="s">
        <v>869</v>
      </c>
      <c r="J3" s="15" t="s">
        <v>870</v>
      </c>
    </row>
    <row r="4" spans="1:10" s="4" customFormat="1" x14ac:dyDescent="0.25">
      <c r="A4" s="13">
        <v>1</v>
      </c>
      <c r="B4" s="13">
        <v>2</v>
      </c>
      <c r="C4" s="16">
        <v>3</v>
      </c>
      <c r="D4" s="86">
        <v>4</v>
      </c>
      <c r="E4" s="86">
        <v>5</v>
      </c>
      <c r="F4" s="86" t="s">
        <v>138</v>
      </c>
      <c r="G4" s="39">
        <v>7</v>
      </c>
      <c r="H4" s="39" t="s">
        <v>661</v>
      </c>
      <c r="I4" s="39" t="s">
        <v>632</v>
      </c>
      <c r="J4" s="16" t="s">
        <v>633</v>
      </c>
    </row>
    <row r="5" spans="1:10" s="1" customFormat="1" x14ac:dyDescent="0.25">
      <c r="A5" s="6">
        <v>1</v>
      </c>
      <c r="B5" s="7" t="s">
        <v>90</v>
      </c>
      <c r="C5" s="8"/>
      <c r="D5" s="8"/>
      <c r="E5" s="8"/>
      <c r="F5" s="8"/>
      <c r="G5" s="7"/>
      <c r="H5" s="7"/>
      <c r="I5" s="7"/>
      <c r="J5" s="7"/>
    </row>
    <row r="6" spans="1:10" s="30" customFormat="1" x14ac:dyDescent="0.25">
      <c r="A6" s="28"/>
      <c r="B6" s="19" t="s">
        <v>85</v>
      </c>
      <c r="C6" s="207">
        <v>3011565089</v>
      </c>
      <c r="D6" s="207"/>
      <c r="E6" s="207"/>
      <c r="F6" s="207">
        <f t="shared" ref="F6:F11" si="0">D6-E6</f>
        <v>0</v>
      </c>
      <c r="G6" s="207">
        <f>+C6</f>
        <v>3011565089</v>
      </c>
      <c r="H6" s="207">
        <f t="shared" ref="H6:H11" si="1">C6-E6</f>
        <v>3011565089</v>
      </c>
      <c r="I6" s="207">
        <f t="shared" ref="I6:I11" si="2">G6-H6</f>
        <v>0</v>
      </c>
      <c r="J6" s="207">
        <f t="shared" ref="J6:J11" si="3">F6+I6</f>
        <v>0</v>
      </c>
    </row>
    <row r="7" spans="1:10" s="30" customFormat="1" x14ac:dyDescent="0.25">
      <c r="A7" s="28"/>
      <c r="B7" s="19" t="s">
        <v>86</v>
      </c>
      <c r="C7" s="207">
        <v>184250000</v>
      </c>
      <c r="D7" s="207"/>
      <c r="E7" s="207"/>
      <c r="F7" s="207">
        <f t="shared" si="0"/>
        <v>0</v>
      </c>
      <c r="G7" s="482">
        <f t="shared" ref="G7:G11" si="4">+C7</f>
        <v>184250000</v>
      </c>
      <c r="H7" s="207">
        <f t="shared" si="1"/>
        <v>184250000</v>
      </c>
      <c r="I7" s="207">
        <f t="shared" si="2"/>
        <v>0</v>
      </c>
      <c r="J7" s="207">
        <f t="shared" si="3"/>
        <v>0</v>
      </c>
    </row>
    <row r="8" spans="1:10" s="30" customFormat="1" x14ac:dyDescent="0.25">
      <c r="A8" s="28"/>
      <c r="B8" s="19" t="s">
        <v>87</v>
      </c>
      <c r="C8" s="207"/>
      <c r="D8" s="207"/>
      <c r="E8" s="207"/>
      <c r="F8" s="207">
        <f t="shared" si="0"/>
        <v>0</v>
      </c>
      <c r="G8" s="482">
        <f t="shared" si="4"/>
        <v>0</v>
      </c>
      <c r="H8" s="207">
        <f t="shared" si="1"/>
        <v>0</v>
      </c>
      <c r="I8" s="207">
        <f t="shared" si="2"/>
        <v>0</v>
      </c>
      <c r="J8" s="207">
        <f t="shared" si="3"/>
        <v>0</v>
      </c>
    </row>
    <row r="9" spans="1:10" s="30" customFormat="1" x14ac:dyDescent="0.25">
      <c r="A9" s="28"/>
      <c r="B9" s="19" t="s">
        <v>88</v>
      </c>
      <c r="C9" s="207"/>
      <c r="D9" s="207"/>
      <c r="E9" s="207"/>
      <c r="F9" s="207">
        <f t="shared" si="0"/>
        <v>0</v>
      </c>
      <c r="G9" s="482">
        <f t="shared" si="4"/>
        <v>0</v>
      </c>
      <c r="H9" s="207">
        <f t="shared" si="1"/>
        <v>0</v>
      </c>
      <c r="I9" s="207">
        <f t="shared" si="2"/>
        <v>0</v>
      </c>
      <c r="J9" s="207">
        <f t="shared" si="3"/>
        <v>0</v>
      </c>
    </row>
    <row r="10" spans="1:10" s="219" customFormat="1" x14ac:dyDescent="0.25">
      <c r="A10" s="218"/>
      <c r="B10" s="208" t="s">
        <v>523</v>
      </c>
      <c r="C10" s="207"/>
      <c r="D10" s="207"/>
      <c r="E10" s="207"/>
      <c r="F10" s="207">
        <f t="shared" si="0"/>
        <v>0</v>
      </c>
      <c r="G10" s="482">
        <f t="shared" si="4"/>
        <v>0</v>
      </c>
      <c r="H10" s="207">
        <f t="shared" si="1"/>
        <v>0</v>
      </c>
      <c r="I10" s="207">
        <f t="shared" si="2"/>
        <v>0</v>
      </c>
      <c r="J10" s="207">
        <f t="shared" si="3"/>
        <v>0</v>
      </c>
    </row>
    <row r="11" spans="1:10" s="30" customFormat="1" x14ac:dyDescent="0.25">
      <c r="A11" s="28"/>
      <c r="B11" s="19" t="s">
        <v>89</v>
      </c>
      <c r="C11" s="207"/>
      <c r="D11" s="207"/>
      <c r="E11" s="207"/>
      <c r="F11" s="207">
        <f t="shared" si="0"/>
        <v>0</v>
      </c>
      <c r="G11" s="482">
        <f t="shared" si="4"/>
        <v>0</v>
      </c>
      <c r="H11" s="207">
        <f t="shared" si="1"/>
        <v>0</v>
      </c>
      <c r="I11" s="207">
        <f t="shared" si="2"/>
        <v>0</v>
      </c>
      <c r="J11" s="207">
        <f t="shared" si="3"/>
        <v>0</v>
      </c>
    </row>
    <row r="12" spans="1:10" s="2" customFormat="1" x14ac:dyDescent="0.25">
      <c r="A12" s="6"/>
      <c r="B12" s="6" t="s">
        <v>29</v>
      </c>
      <c r="C12" s="18">
        <f>SUM(C6:C11)</f>
        <v>3195815089</v>
      </c>
      <c r="D12" s="18">
        <f t="shared" ref="D12:J12" si="5">SUM(D6:D11)</f>
        <v>0</v>
      </c>
      <c r="E12" s="18">
        <f t="shared" si="5"/>
        <v>0</v>
      </c>
      <c r="F12" s="18">
        <f t="shared" si="5"/>
        <v>0</v>
      </c>
      <c r="G12" s="18">
        <f t="shared" si="5"/>
        <v>3195815089</v>
      </c>
      <c r="H12" s="18">
        <f t="shared" si="5"/>
        <v>3195815089</v>
      </c>
      <c r="I12" s="18">
        <f t="shared" si="5"/>
        <v>0</v>
      </c>
      <c r="J12" s="18">
        <f t="shared" si="5"/>
        <v>0</v>
      </c>
    </row>
    <row r="13" spans="1:10" s="1" customFormat="1" x14ac:dyDescent="0.25">
      <c r="A13" s="6"/>
      <c r="B13" s="7"/>
      <c r="C13" s="8"/>
      <c r="D13" s="8"/>
      <c r="E13" s="8"/>
      <c r="F13" s="8"/>
      <c r="G13" s="8"/>
      <c r="H13" s="8"/>
      <c r="I13" s="8"/>
      <c r="J13" s="8"/>
    </row>
    <row r="14" spans="1:10" s="1" customFormat="1" x14ac:dyDescent="0.25">
      <c r="A14" s="6">
        <v>2</v>
      </c>
      <c r="B14" s="7" t="s">
        <v>91</v>
      </c>
      <c r="C14" s="8"/>
      <c r="D14" s="8"/>
      <c r="E14" s="8"/>
      <c r="F14" s="8"/>
      <c r="G14" s="8"/>
      <c r="H14" s="8"/>
      <c r="I14" s="8"/>
      <c r="J14" s="8"/>
    </row>
    <row r="15" spans="1:10" s="30" customFormat="1" x14ac:dyDescent="0.25">
      <c r="A15" s="28"/>
      <c r="B15" s="19" t="s">
        <v>92</v>
      </c>
      <c r="C15" s="207"/>
      <c r="D15" s="207"/>
      <c r="E15" s="207"/>
      <c r="F15" s="207">
        <f t="shared" ref="F15:F20" si="6">D15-E15</f>
        <v>0</v>
      </c>
      <c r="G15" s="482">
        <f t="shared" ref="G15:G20" si="7">+C15</f>
        <v>0</v>
      </c>
      <c r="H15" s="207">
        <f t="shared" ref="H15:H20" si="8">C15-E15</f>
        <v>0</v>
      </c>
      <c r="I15" s="207">
        <f t="shared" ref="I15:I20" si="9">G15-H15</f>
        <v>0</v>
      </c>
      <c r="J15" s="207">
        <f t="shared" ref="J15:J20" si="10">F15+I15</f>
        <v>0</v>
      </c>
    </row>
    <row r="16" spans="1:10" s="30" customFormat="1" x14ac:dyDescent="0.25">
      <c r="A16" s="28"/>
      <c r="B16" s="19" t="s">
        <v>93</v>
      </c>
      <c r="C16" s="207"/>
      <c r="D16" s="207"/>
      <c r="E16" s="207"/>
      <c r="F16" s="207">
        <f t="shared" si="6"/>
        <v>0</v>
      </c>
      <c r="G16" s="482">
        <f t="shared" si="7"/>
        <v>0</v>
      </c>
      <c r="H16" s="207">
        <f t="shared" si="8"/>
        <v>0</v>
      </c>
      <c r="I16" s="207">
        <f t="shared" si="9"/>
        <v>0</v>
      </c>
      <c r="J16" s="207">
        <f t="shared" si="10"/>
        <v>0</v>
      </c>
    </row>
    <row r="17" spans="1:10" s="30" customFormat="1" x14ac:dyDescent="0.25">
      <c r="A17" s="28"/>
      <c r="B17" s="217" t="s">
        <v>519</v>
      </c>
      <c r="C17" s="207">
        <v>1627808401</v>
      </c>
      <c r="D17" s="207"/>
      <c r="E17" s="207"/>
      <c r="F17" s="207">
        <f t="shared" si="6"/>
        <v>0</v>
      </c>
      <c r="G17" s="482">
        <f t="shared" si="7"/>
        <v>1627808401</v>
      </c>
      <c r="H17" s="207">
        <f t="shared" si="8"/>
        <v>1627808401</v>
      </c>
      <c r="I17" s="207">
        <f t="shared" si="9"/>
        <v>0</v>
      </c>
      <c r="J17" s="207">
        <f t="shared" si="10"/>
        <v>0</v>
      </c>
    </row>
    <row r="18" spans="1:10" s="30" customFormat="1" x14ac:dyDescent="0.25">
      <c r="A18" s="28"/>
      <c r="B18" s="19" t="s">
        <v>520</v>
      </c>
      <c r="C18" s="482">
        <v>3295538800</v>
      </c>
      <c r="D18" s="207"/>
      <c r="E18" s="207"/>
      <c r="F18" s="207">
        <f t="shared" si="6"/>
        <v>0</v>
      </c>
      <c r="G18" s="482">
        <f t="shared" si="7"/>
        <v>3295538800</v>
      </c>
      <c r="H18" s="207">
        <f t="shared" si="8"/>
        <v>3295538800</v>
      </c>
      <c r="I18" s="207">
        <f t="shared" si="9"/>
        <v>0</v>
      </c>
      <c r="J18" s="207">
        <f t="shared" si="10"/>
        <v>0</v>
      </c>
    </row>
    <row r="19" spans="1:10" s="30" customFormat="1" x14ac:dyDescent="0.25">
      <c r="A19" s="28"/>
      <c r="B19" s="19" t="s">
        <v>521</v>
      </c>
      <c r="C19" s="207">
        <v>155951000</v>
      </c>
      <c r="D19" s="207"/>
      <c r="E19" s="207"/>
      <c r="F19" s="207">
        <f t="shared" si="6"/>
        <v>0</v>
      </c>
      <c r="G19" s="482">
        <f t="shared" si="7"/>
        <v>155951000</v>
      </c>
      <c r="H19" s="207">
        <f t="shared" si="8"/>
        <v>155951000</v>
      </c>
      <c r="I19" s="207">
        <f t="shared" si="9"/>
        <v>0</v>
      </c>
      <c r="J19" s="207">
        <f t="shared" si="10"/>
        <v>0</v>
      </c>
    </row>
    <row r="20" spans="1:10" s="30" customFormat="1" x14ac:dyDescent="0.25">
      <c r="A20" s="28"/>
      <c r="B20" s="19" t="s">
        <v>522</v>
      </c>
      <c r="C20" s="207">
        <v>195373500</v>
      </c>
      <c r="D20" s="207"/>
      <c r="E20" s="207"/>
      <c r="F20" s="207">
        <f t="shared" si="6"/>
        <v>0</v>
      </c>
      <c r="G20" s="482">
        <f t="shared" si="7"/>
        <v>195373500</v>
      </c>
      <c r="H20" s="207">
        <f t="shared" si="8"/>
        <v>195373500</v>
      </c>
      <c r="I20" s="207">
        <f t="shared" si="9"/>
        <v>0</v>
      </c>
      <c r="J20" s="207">
        <f t="shared" si="10"/>
        <v>0</v>
      </c>
    </row>
    <row r="21" spans="1:10" s="2" customFormat="1" x14ac:dyDescent="0.25">
      <c r="A21" s="6"/>
      <c r="B21" s="6" t="s">
        <v>29</v>
      </c>
      <c r="C21" s="18">
        <f>SUM(C15:C20)</f>
        <v>5274671701</v>
      </c>
      <c r="D21" s="18">
        <f t="shared" ref="D21:J21" si="11">SUM(D15:D20)</f>
        <v>0</v>
      </c>
      <c r="E21" s="18">
        <f t="shared" si="11"/>
        <v>0</v>
      </c>
      <c r="F21" s="18">
        <f t="shared" si="11"/>
        <v>0</v>
      </c>
      <c r="G21" s="18">
        <f t="shared" si="11"/>
        <v>5274671701</v>
      </c>
      <c r="H21" s="18">
        <f t="shared" si="11"/>
        <v>5274671701</v>
      </c>
      <c r="I21" s="18">
        <f t="shared" si="11"/>
        <v>0</v>
      </c>
      <c r="J21" s="18">
        <f t="shared" si="11"/>
        <v>0</v>
      </c>
    </row>
    <row r="22" spans="1:10" s="2" customFormat="1" x14ac:dyDescent="0.25">
      <c r="A22" s="209">
        <v>3</v>
      </c>
      <c r="B22" s="210" t="s">
        <v>106</v>
      </c>
      <c r="C22" s="211"/>
      <c r="D22" s="211"/>
      <c r="E22" s="211"/>
      <c r="F22" s="211"/>
      <c r="G22" s="211"/>
      <c r="H22" s="211"/>
      <c r="I22" s="211"/>
      <c r="J22" s="211"/>
    </row>
    <row r="23" spans="1:10" s="2" customFormat="1" x14ac:dyDescent="0.25">
      <c r="A23" s="209"/>
      <c r="B23" s="212" t="s">
        <v>178</v>
      </c>
      <c r="C23" s="211"/>
      <c r="D23" s="211"/>
      <c r="E23" s="211"/>
      <c r="F23" s="211">
        <f>D23-E23</f>
        <v>0</v>
      </c>
      <c r="G23" s="211"/>
      <c r="H23" s="211">
        <f>C23-E23</f>
        <v>0</v>
      </c>
      <c r="I23" s="211">
        <f>G23-H23</f>
        <v>0</v>
      </c>
      <c r="J23" s="211">
        <f>F23+I23</f>
        <v>0</v>
      </c>
    </row>
    <row r="24" spans="1:10" s="2" customFormat="1" x14ac:dyDescent="0.25">
      <c r="A24" s="209"/>
      <c r="B24" s="212" t="s">
        <v>179</v>
      </c>
      <c r="C24" s="484"/>
      <c r="D24" s="211"/>
      <c r="E24" s="211"/>
      <c r="F24" s="211">
        <f>D24-E24</f>
        <v>0</v>
      </c>
      <c r="G24" s="484"/>
      <c r="H24" s="211">
        <f>C24-E24</f>
        <v>0</v>
      </c>
      <c r="I24" s="211">
        <f>G24-H24</f>
        <v>0</v>
      </c>
      <c r="J24" s="211">
        <f>F24+I24</f>
        <v>0</v>
      </c>
    </row>
    <row r="25" spans="1:10" s="2" customFormat="1" x14ac:dyDescent="0.25">
      <c r="A25" s="6"/>
      <c r="B25" s="6" t="s">
        <v>29</v>
      </c>
      <c r="C25" s="18">
        <f>SUM(C23:C24)</f>
        <v>0</v>
      </c>
      <c r="D25" s="18">
        <f t="shared" ref="D25:J25" si="12">SUM(D23:D24)</f>
        <v>0</v>
      </c>
      <c r="E25" s="18">
        <f t="shared" si="12"/>
        <v>0</v>
      </c>
      <c r="F25" s="18">
        <f t="shared" si="12"/>
        <v>0</v>
      </c>
      <c r="G25" s="18">
        <f t="shared" si="12"/>
        <v>0</v>
      </c>
      <c r="H25" s="18">
        <f t="shared" si="12"/>
        <v>0</v>
      </c>
      <c r="I25" s="18">
        <f t="shared" si="12"/>
        <v>0</v>
      </c>
      <c r="J25" s="18">
        <f t="shared" si="12"/>
        <v>0</v>
      </c>
    </row>
    <row r="26" spans="1:10" s="2" customFormat="1" x14ac:dyDescent="0.25">
      <c r="A26" s="6"/>
      <c r="B26" s="6" t="s">
        <v>28</v>
      </c>
      <c r="C26" s="18">
        <f>+C12+C21+C25</f>
        <v>8470486790</v>
      </c>
      <c r="D26" s="18">
        <f t="shared" ref="D26:J26" si="13">+D12+D21+D25</f>
        <v>0</v>
      </c>
      <c r="E26" s="18">
        <f t="shared" si="13"/>
        <v>0</v>
      </c>
      <c r="F26" s="18">
        <f t="shared" si="13"/>
        <v>0</v>
      </c>
      <c r="G26" s="18">
        <f t="shared" si="13"/>
        <v>8470486790</v>
      </c>
      <c r="H26" s="18">
        <f t="shared" si="13"/>
        <v>8470486790</v>
      </c>
      <c r="I26" s="18">
        <f t="shared" si="13"/>
        <v>0</v>
      </c>
      <c r="J26" s="18">
        <f t="shared" si="13"/>
        <v>0</v>
      </c>
    </row>
    <row r="27" spans="1:10" x14ac:dyDescent="0.25">
      <c r="C27" s="3">
        <v>5274671701</v>
      </c>
    </row>
    <row r="28" spans="1:10" x14ac:dyDescent="0.25">
      <c r="C28" s="3">
        <v>3195815089</v>
      </c>
    </row>
    <row r="29" spans="1:10" x14ac:dyDescent="0.25">
      <c r="C29" s="3">
        <f>+C26-C27-C28</f>
        <v>0</v>
      </c>
    </row>
  </sheetData>
  <sheetProtection algorithmName="SHA-512" hashValue="imgTN9FVDZXXy6VBQcXN2HzsUM8/U2jfsQ+OkvRIobuQh8JYVdh9FEkr7CXEdvHCDNAXo7Hg1b79hEcbvGw35A==" saltValue="O/wEvkYvfVMheRYxX3xBdw==" spinCount="100000" sheet="1" objects="1" scenarios="1"/>
  <mergeCells count="1">
    <mergeCell ref="A1:J1"/>
  </mergeCells>
  <printOptions horizontalCentered="1"/>
  <pageMargins left="0.31496062992125984" right="0.31496062992125984" top="0.15748031496062992" bottom="0.15748031496062992" header="0.31496062992125984" footer="0.31496062992125984"/>
  <pageSetup paperSize="258" scale="60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00B0F0"/>
  </sheetPr>
  <dimension ref="A1:J16"/>
  <sheetViews>
    <sheetView view="pageBreakPreview" zoomScale="80" zoomScaleNormal="9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8" sqref="H8:J8"/>
    </sheetView>
  </sheetViews>
  <sheetFormatPr defaultRowHeight="15" x14ac:dyDescent="0.25"/>
  <cols>
    <col min="1" max="1" width="3.85546875" style="5" bestFit="1" customWidth="1"/>
    <col min="2" max="2" width="62.85546875" customWidth="1"/>
    <col min="3" max="5" width="20.28515625" style="3" customWidth="1"/>
    <col min="6" max="6" width="23.28515625" style="3" customWidth="1"/>
    <col min="7" max="10" width="17.5703125" customWidth="1"/>
  </cols>
  <sheetData>
    <row r="1" spans="1:10" s="17" customFormat="1" ht="21" x14ac:dyDescent="0.35">
      <c r="A1" s="847" t="s">
        <v>95</v>
      </c>
      <c r="B1" s="847"/>
      <c r="C1" s="847"/>
      <c r="D1" s="847"/>
      <c r="E1" s="847"/>
      <c r="F1" s="847"/>
      <c r="G1" s="847"/>
      <c r="H1" s="847"/>
      <c r="I1" s="847"/>
      <c r="J1" s="847"/>
    </row>
    <row r="3" spans="1:10" s="4" customFormat="1" ht="60" x14ac:dyDescent="0.25">
      <c r="A3" s="13" t="s">
        <v>22</v>
      </c>
      <c r="B3" s="13" t="s">
        <v>23</v>
      </c>
      <c r="C3" s="14" t="s">
        <v>25</v>
      </c>
      <c r="D3" s="85" t="s">
        <v>865</v>
      </c>
      <c r="E3" s="84" t="s">
        <v>624</v>
      </c>
      <c r="F3" s="85" t="s">
        <v>866</v>
      </c>
      <c r="G3" s="38" t="s">
        <v>867</v>
      </c>
      <c r="H3" s="38" t="s">
        <v>868</v>
      </c>
      <c r="I3" s="38" t="s">
        <v>869</v>
      </c>
      <c r="J3" s="15" t="s">
        <v>870</v>
      </c>
    </row>
    <row r="4" spans="1:10" s="4" customFormat="1" x14ac:dyDescent="0.25">
      <c r="A4" s="13">
        <v>1</v>
      </c>
      <c r="B4" s="13">
        <v>2</v>
      </c>
      <c r="C4" s="16">
        <v>3</v>
      </c>
      <c r="D4" s="86">
        <v>4</v>
      </c>
      <c r="E4" s="86">
        <v>5</v>
      </c>
      <c r="F4" s="86" t="s">
        <v>138</v>
      </c>
      <c r="G4" s="39">
        <v>7</v>
      </c>
      <c r="H4" s="39" t="s">
        <v>661</v>
      </c>
      <c r="I4" s="39" t="s">
        <v>632</v>
      </c>
      <c r="J4" s="16" t="s">
        <v>633</v>
      </c>
    </row>
    <row r="5" spans="1:10" s="1" customFormat="1" x14ac:dyDescent="0.25">
      <c r="A5" s="6">
        <v>1</v>
      </c>
      <c r="B5" s="7" t="s">
        <v>99</v>
      </c>
      <c r="C5" s="8"/>
      <c r="D5" s="8"/>
      <c r="E5" s="8"/>
      <c r="F5" s="8"/>
      <c r="G5" s="8"/>
      <c r="H5" s="8"/>
      <c r="I5" s="8"/>
      <c r="J5" s="8"/>
    </row>
    <row r="6" spans="1:10" s="30" customFormat="1" x14ac:dyDescent="0.25">
      <c r="A6" s="28"/>
      <c r="B6" s="19" t="s">
        <v>96</v>
      </c>
      <c r="C6" s="29">
        <v>17954249376</v>
      </c>
      <c r="D6" s="207"/>
      <c r="E6" s="207"/>
      <c r="F6" s="207">
        <f>D6-E6</f>
        <v>0</v>
      </c>
      <c r="G6" s="207">
        <f>+C6</f>
        <v>17954249376</v>
      </c>
      <c r="H6" s="207">
        <f>C6-E6</f>
        <v>17954249376</v>
      </c>
      <c r="I6" s="207">
        <f>G6-H6</f>
        <v>0</v>
      </c>
      <c r="J6" s="207">
        <f>F6+I6</f>
        <v>0</v>
      </c>
    </row>
    <row r="7" spans="1:10" s="30" customFormat="1" x14ac:dyDescent="0.25">
      <c r="A7" s="28"/>
      <c r="B7" s="19" t="s">
        <v>97</v>
      </c>
      <c r="C7" s="29">
        <v>8986270502</v>
      </c>
      <c r="D7" s="207"/>
      <c r="E7" s="207"/>
      <c r="F7" s="207">
        <f>D7-E7</f>
        <v>0</v>
      </c>
      <c r="G7" s="482">
        <f t="shared" ref="G7:G8" si="0">+C7</f>
        <v>8986270502</v>
      </c>
      <c r="H7" s="207">
        <f>C7-E7</f>
        <v>8986270502</v>
      </c>
      <c r="I7" s="207">
        <f>G7-H7</f>
        <v>0</v>
      </c>
      <c r="J7" s="207">
        <f>F7+I7</f>
        <v>0</v>
      </c>
    </row>
    <row r="8" spans="1:10" s="30" customFormat="1" x14ac:dyDescent="0.25">
      <c r="A8" s="28"/>
      <c r="B8" s="19" t="s">
        <v>98</v>
      </c>
      <c r="C8" s="29">
        <v>814823200</v>
      </c>
      <c r="D8" s="207"/>
      <c r="E8" s="207"/>
      <c r="F8" s="207">
        <f>D8-E8</f>
        <v>0</v>
      </c>
      <c r="G8" s="482">
        <f t="shared" si="0"/>
        <v>814823200</v>
      </c>
      <c r="H8" s="482">
        <f>C8-E8</f>
        <v>814823200</v>
      </c>
      <c r="I8" s="482">
        <f>G8-H8</f>
        <v>0</v>
      </c>
      <c r="J8" s="482">
        <f>F8+I8</f>
        <v>0</v>
      </c>
    </row>
    <row r="9" spans="1:10" s="2" customFormat="1" x14ac:dyDescent="0.25">
      <c r="A9" s="6"/>
      <c r="B9" s="6" t="s">
        <v>29</v>
      </c>
      <c r="C9" s="18">
        <f>SUM(C6:C8)</f>
        <v>27755343078</v>
      </c>
      <c r="D9" s="18">
        <f t="shared" ref="D9:J9" si="1">SUM(D6:D8)</f>
        <v>0</v>
      </c>
      <c r="E9" s="18">
        <f t="shared" si="1"/>
        <v>0</v>
      </c>
      <c r="F9" s="18">
        <f t="shared" si="1"/>
        <v>0</v>
      </c>
      <c r="G9" s="18">
        <f t="shared" si="1"/>
        <v>27755343078</v>
      </c>
      <c r="H9" s="18">
        <f t="shared" si="1"/>
        <v>27755343078</v>
      </c>
      <c r="I9" s="18">
        <f t="shared" si="1"/>
        <v>0</v>
      </c>
      <c r="J9" s="18">
        <f t="shared" si="1"/>
        <v>0</v>
      </c>
    </row>
    <row r="10" spans="1:10" s="2" customFormat="1" x14ac:dyDescent="0.25">
      <c r="A10" s="6"/>
      <c r="B10" s="6"/>
      <c r="C10" s="18"/>
      <c r="D10" s="18"/>
      <c r="E10" s="18"/>
      <c r="F10" s="18"/>
      <c r="G10" s="18"/>
      <c r="H10" s="18"/>
      <c r="I10" s="18"/>
      <c r="J10" s="18"/>
    </row>
    <row r="11" spans="1:10" s="2" customFormat="1" x14ac:dyDescent="0.25">
      <c r="A11" s="6">
        <v>2</v>
      </c>
      <c r="B11" s="31" t="s">
        <v>106</v>
      </c>
      <c r="C11" s="18"/>
      <c r="D11" s="18"/>
      <c r="E11" s="18"/>
      <c r="F11" s="18"/>
      <c r="G11" s="18"/>
      <c r="H11" s="18"/>
      <c r="I11" s="18"/>
      <c r="J11" s="18"/>
    </row>
    <row r="12" spans="1:10" s="2" customFormat="1" x14ac:dyDescent="0.25">
      <c r="A12" s="6"/>
      <c r="B12" s="32" t="s">
        <v>180</v>
      </c>
      <c r="C12" s="483"/>
      <c r="D12" s="18"/>
      <c r="E12" s="18"/>
      <c r="F12" s="18">
        <f>D12-E12</f>
        <v>0</v>
      </c>
      <c r="G12" s="483"/>
      <c r="H12" s="207">
        <f>C12-E12</f>
        <v>0</v>
      </c>
      <c r="I12" s="207">
        <f>G12-H12</f>
        <v>0</v>
      </c>
      <c r="J12" s="207">
        <f>F12+I12</f>
        <v>0</v>
      </c>
    </row>
    <row r="13" spans="1:10" s="2" customFormat="1" x14ac:dyDescent="0.25">
      <c r="A13" s="6"/>
      <c r="B13" s="6" t="s">
        <v>29</v>
      </c>
      <c r="C13" s="18">
        <f>SUM(C12)</f>
        <v>0</v>
      </c>
      <c r="D13" s="18">
        <f t="shared" ref="D13:J13" si="2">SUM(D12)</f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</row>
    <row r="14" spans="1:10" s="2" customFormat="1" x14ac:dyDescent="0.25">
      <c r="A14" s="6"/>
      <c r="B14" s="6" t="s">
        <v>28</v>
      </c>
      <c r="C14" s="18">
        <f>+C9+C13</f>
        <v>27755343078</v>
      </c>
      <c r="D14" s="18">
        <f t="shared" ref="D14:J14" si="3">+D9+D13</f>
        <v>0</v>
      </c>
      <c r="E14" s="18">
        <f t="shared" si="3"/>
        <v>0</v>
      </c>
      <c r="F14" s="18">
        <f t="shared" si="3"/>
        <v>0</v>
      </c>
      <c r="G14" s="18">
        <f t="shared" si="3"/>
        <v>27755343078</v>
      </c>
      <c r="H14" s="18">
        <f t="shared" si="3"/>
        <v>27755343078</v>
      </c>
      <c r="I14" s="18">
        <f t="shared" si="3"/>
        <v>0</v>
      </c>
      <c r="J14" s="18">
        <f t="shared" si="3"/>
        <v>0</v>
      </c>
    </row>
    <row r="15" spans="1:10" x14ac:dyDescent="0.25">
      <c r="C15" s="3">
        <v>27755343078</v>
      </c>
    </row>
    <row r="16" spans="1:10" x14ac:dyDescent="0.25">
      <c r="C16" s="3">
        <f>+C14-C15</f>
        <v>0</v>
      </c>
    </row>
  </sheetData>
  <sheetProtection algorithmName="SHA-512" hashValue="wQV01nXUREeMPHifmNNDwnPpOOyyHYkHsfhm+IP658RWM53wOcAei1v4icHRofsp1yo1eDRMAZrrwQkt+OdSAA==" saltValue="aRkHzs12nBpJlLGjqLH5vQ==" spinCount="100000" sheet="1" objects="1" scenarios="1"/>
  <mergeCells count="1">
    <mergeCell ref="A1:J1"/>
  </mergeCells>
  <printOptions horizontalCentered="1"/>
  <pageMargins left="0.31496062992125984" right="0.31496062992125984" top="0.74803149606299213" bottom="0.74803149606299213" header="0.31496062992125984" footer="0.31496062992125984"/>
  <pageSetup paperSize="258" scale="71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0070C0"/>
  </sheetPr>
  <dimension ref="A1:J36"/>
  <sheetViews>
    <sheetView view="pageBreakPreview" zoomScale="85" zoomScaleNormal="8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9" sqref="B9"/>
    </sheetView>
  </sheetViews>
  <sheetFormatPr defaultRowHeight="15" x14ac:dyDescent="0.25"/>
  <cols>
    <col min="1" max="1" width="3.85546875" style="216" bestFit="1" customWidth="1"/>
    <col min="2" max="2" width="62.85546875" customWidth="1"/>
    <col min="3" max="4" width="20.28515625" style="3" customWidth="1"/>
    <col min="5" max="5" width="23.42578125" style="3" bestFit="1" customWidth="1"/>
    <col min="6" max="6" width="23.28515625" style="3" customWidth="1"/>
    <col min="7" max="7" width="25.28515625" customWidth="1"/>
    <col min="8" max="8" width="22.42578125" customWidth="1"/>
    <col min="9" max="9" width="29.140625" customWidth="1"/>
    <col min="10" max="10" width="21.140625" customWidth="1"/>
  </cols>
  <sheetData>
    <row r="1" spans="1:10" s="17" customFormat="1" ht="21" x14ac:dyDescent="0.35">
      <c r="A1" s="847" t="s">
        <v>100</v>
      </c>
      <c r="B1" s="847"/>
      <c r="C1" s="847"/>
      <c r="D1" s="847"/>
      <c r="E1" s="847"/>
      <c r="F1" s="847"/>
      <c r="G1" s="847"/>
      <c r="H1" s="847"/>
      <c r="I1" s="847"/>
      <c r="J1" s="847"/>
    </row>
    <row r="3" spans="1:10" s="4" customFormat="1" ht="45" x14ac:dyDescent="0.25">
      <c r="A3" s="13" t="s">
        <v>22</v>
      </c>
      <c r="B3" s="13" t="s">
        <v>23</v>
      </c>
      <c r="C3" s="14" t="s">
        <v>25</v>
      </c>
      <c r="D3" s="85" t="s">
        <v>627</v>
      </c>
      <c r="E3" s="84" t="s">
        <v>624</v>
      </c>
      <c r="F3" s="85" t="s">
        <v>626</v>
      </c>
      <c r="G3" s="38" t="s">
        <v>631</v>
      </c>
      <c r="H3" s="38" t="s">
        <v>868</v>
      </c>
      <c r="I3" s="38" t="s">
        <v>869</v>
      </c>
      <c r="J3" s="15" t="s">
        <v>870</v>
      </c>
    </row>
    <row r="4" spans="1:10" s="4" customFormat="1" x14ac:dyDescent="0.25">
      <c r="A4" s="13">
        <v>1</v>
      </c>
      <c r="B4" s="13">
        <v>2</v>
      </c>
      <c r="C4" s="16">
        <v>3</v>
      </c>
      <c r="D4" s="86">
        <v>4</v>
      </c>
      <c r="E4" s="86">
        <v>5</v>
      </c>
      <c r="F4" s="86" t="s">
        <v>138</v>
      </c>
      <c r="G4" s="39">
        <v>7</v>
      </c>
      <c r="H4" s="39" t="s">
        <v>661</v>
      </c>
      <c r="I4" s="39" t="s">
        <v>632</v>
      </c>
      <c r="J4" s="16" t="s">
        <v>633</v>
      </c>
    </row>
    <row r="5" spans="1:10" s="1" customFormat="1" x14ac:dyDescent="0.25">
      <c r="A5" s="6">
        <v>1</v>
      </c>
      <c r="B5" s="7" t="s">
        <v>105</v>
      </c>
      <c r="C5" s="8"/>
      <c r="D5" s="8"/>
      <c r="E5" s="8"/>
      <c r="F5" s="8"/>
      <c r="G5" s="7"/>
      <c r="H5" s="7"/>
      <c r="I5" s="7"/>
      <c r="J5" s="7"/>
    </row>
    <row r="6" spans="1:10" s="1" customFormat="1" x14ac:dyDescent="0.25">
      <c r="A6" s="6"/>
      <c r="B6" s="208" t="s">
        <v>101</v>
      </c>
      <c r="C6" s="8"/>
      <c r="D6" s="8"/>
      <c r="E6" s="8"/>
      <c r="F6" s="8">
        <f>D6-E6</f>
        <v>0</v>
      </c>
      <c r="G6" s="8"/>
      <c r="H6" s="8">
        <f>C6-E6</f>
        <v>0</v>
      </c>
      <c r="I6" s="8">
        <f>G6-H6</f>
        <v>0</v>
      </c>
      <c r="J6" s="8">
        <f>F6+I6</f>
        <v>0</v>
      </c>
    </row>
    <row r="7" spans="1:10" s="1" customFormat="1" x14ac:dyDescent="0.25">
      <c r="A7" s="6"/>
      <c r="B7" s="208" t="s">
        <v>102</v>
      </c>
      <c r="C7" s="8"/>
      <c r="D7" s="8"/>
      <c r="E7" s="8"/>
      <c r="F7" s="8">
        <f>D7-E7</f>
        <v>0</v>
      </c>
      <c r="G7" s="8"/>
      <c r="H7" s="8">
        <f>C7-E7</f>
        <v>0</v>
      </c>
      <c r="I7" s="8">
        <f>G7-H7</f>
        <v>0</v>
      </c>
      <c r="J7" s="8">
        <f>F7+I7</f>
        <v>0</v>
      </c>
    </row>
    <row r="8" spans="1:10" s="1" customFormat="1" x14ac:dyDescent="0.25">
      <c r="A8" s="6"/>
      <c r="B8" s="208" t="s">
        <v>518</v>
      </c>
      <c r="C8" s="8"/>
      <c r="D8" s="8"/>
      <c r="E8" s="8"/>
      <c r="F8" s="8">
        <f>D8-E8</f>
        <v>0</v>
      </c>
      <c r="G8" s="8"/>
      <c r="H8" s="8">
        <f>C8-E8</f>
        <v>0</v>
      </c>
      <c r="I8" s="8">
        <f>G8-H8</f>
        <v>0</v>
      </c>
      <c r="J8" s="8">
        <f>F8+I8</f>
        <v>0</v>
      </c>
    </row>
    <row r="9" spans="1:10" s="1" customFormat="1" x14ac:dyDescent="0.25">
      <c r="A9" s="6"/>
      <c r="B9" s="208" t="s">
        <v>516</v>
      </c>
      <c r="C9" s="8"/>
      <c r="D9" s="8"/>
      <c r="E9" s="8"/>
      <c r="F9" s="8">
        <f>D9-E9</f>
        <v>0</v>
      </c>
      <c r="G9" s="8"/>
      <c r="H9" s="8">
        <f>C9-E9</f>
        <v>0</v>
      </c>
      <c r="I9" s="8">
        <f>G9-H9</f>
        <v>0</v>
      </c>
      <c r="J9" s="8">
        <f>F9+I9</f>
        <v>0</v>
      </c>
    </row>
    <row r="10" spans="1:10" s="1" customFormat="1" x14ac:dyDescent="0.25">
      <c r="A10" s="6"/>
      <c r="B10" s="208" t="s">
        <v>517</v>
      </c>
      <c r="C10" s="8"/>
      <c r="D10" s="8"/>
      <c r="E10" s="8"/>
      <c r="F10" s="8">
        <f>D10-E10</f>
        <v>0</v>
      </c>
      <c r="G10" s="8"/>
      <c r="H10" s="8">
        <f>C10-E10</f>
        <v>0</v>
      </c>
      <c r="I10" s="8">
        <f>G10-H10</f>
        <v>0</v>
      </c>
      <c r="J10" s="8">
        <f>F10+I10</f>
        <v>0</v>
      </c>
    </row>
    <row r="11" spans="1:10" s="2" customFormat="1" x14ac:dyDescent="0.25">
      <c r="A11" s="6"/>
      <c r="B11" s="6" t="s">
        <v>29</v>
      </c>
      <c r="C11" s="18">
        <f>SUM(C6:C10)</f>
        <v>0</v>
      </c>
      <c r="D11" s="18">
        <f t="shared" ref="D11:J11" si="0">SUM(D6:D10)</f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</row>
    <row r="12" spans="1:10" s="1" customFormat="1" x14ac:dyDescent="0.25">
      <c r="A12" s="6"/>
      <c r="B12" s="7"/>
      <c r="C12" s="8"/>
      <c r="D12" s="8"/>
      <c r="E12" s="8"/>
      <c r="F12" s="8"/>
      <c r="G12" s="8"/>
      <c r="H12" s="8"/>
      <c r="I12" s="8"/>
      <c r="J12" s="8"/>
    </row>
    <row r="13" spans="1:10" s="1" customFormat="1" x14ac:dyDescent="0.25">
      <c r="A13" s="6">
        <v>2</v>
      </c>
      <c r="B13" s="7" t="s">
        <v>104</v>
      </c>
      <c r="C13" s="8"/>
      <c r="D13" s="8"/>
      <c r="E13" s="8"/>
      <c r="F13" s="8"/>
      <c r="G13" s="8"/>
      <c r="H13" s="8"/>
      <c r="I13" s="8"/>
      <c r="J13" s="8"/>
    </row>
    <row r="14" spans="1:10" s="219" customFormat="1" x14ac:dyDescent="0.25">
      <c r="A14" s="218"/>
      <c r="B14" s="208" t="s">
        <v>515</v>
      </c>
      <c r="C14" s="207"/>
      <c r="D14" s="207"/>
      <c r="E14" s="207"/>
      <c r="F14" s="8">
        <f>D14-E14</f>
        <v>0</v>
      </c>
      <c r="G14" s="207"/>
      <c r="H14" s="8">
        <f>C14-E14</f>
        <v>0</v>
      </c>
      <c r="I14" s="8">
        <f>G14-H14</f>
        <v>0</v>
      </c>
      <c r="J14" s="8">
        <f>F14+I14</f>
        <v>0</v>
      </c>
    </row>
    <row r="15" spans="1:10" s="219" customFormat="1" x14ac:dyDescent="0.25">
      <c r="A15" s="218"/>
      <c r="B15" s="208" t="s">
        <v>103</v>
      </c>
      <c r="C15" s="11"/>
      <c r="D15" s="207"/>
      <c r="E15" s="207"/>
      <c r="F15" s="8">
        <f>D15-E15</f>
        <v>0</v>
      </c>
      <c r="G15" s="11"/>
      <c r="H15" s="8">
        <f>C15-E15</f>
        <v>0</v>
      </c>
      <c r="I15" s="8">
        <f>G15-H15</f>
        <v>0</v>
      </c>
      <c r="J15" s="8">
        <f>F15+I15</f>
        <v>0</v>
      </c>
    </row>
    <row r="16" spans="1:10" s="219" customFormat="1" x14ac:dyDescent="0.25">
      <c r="A16" s="218"/>
      <c r="B16" s="208" t="s">
        <v>514</v>
      </c>
      <c r="C16" s="207">
        <v>85500000</v>
      </c>
      <c r="D16" s="207"/>
      <c r="E16" s="207"/>
      <c r="F16" s="8">
        <f>D16-E16</f>
        <v>0</v>
      </c>
      <c r="G16" s="207">
        <f>+C16</f>
        <v>85500000</v>
      </c>
      <c r="H16" s="8">
        <f>C16-E16</f>
        <v>85500000</v>
      </c>
      <c r="I16" s="8">
        <f>G16-H16</f>
        <v>0</v>
      </c>
      <c r="J16" s="8">
        <f>F16+I16</f>
        <v>0</v>
      </c>
    </row>
    <row r="17" spans="1:10" s="2" customFormat="1" x14ac:dyDescent="0.25">
      <c r="A17" s="6"/>
      <c r="B17" s="6" t="s">
        <v>29</v>
      </c>
      <c r="C17" s="18">
        <f>SUM(C14:C16)</f>
        <v>85500000</v>
      </c>
      <c r="D17" s="18">
        <f t="shared" ref="D17:J17" si="1">SUM(D14:D16)</f>
        <v>0</v>
      </c>
      <c r="E17" s="18">
        <f t="shared" si="1"/>
        <v>0</v>
      </c>
      <c r="F17" s="18">
        <f t="shared" si="1"/>
        <v>0</v>
      </c>
      <c r="G17" s="18">
        <f t="shared" si="1"/>
        <v>85500000</v>
      </c>
      <c r="H17" s="18">
        <f t="shared" si="1"/>
        <v>85500000</v>
      </c>
      <c r="I17" s="18">
        <f t="shared" si="1"/>
        <v>0</v>
      </c>
      <c r="J17" s="18">
        <f t="shared" si="1"/>
        <v>0</v>
      </c>
    </row>
    <row r="18" spans="1:10" s="219" customFormat="1" x14ac:dyDescent="0.25">
      <c r="A18" s="218"/>
      <c r="B18" s="208"/>
      <c r="C18" s="207"/>
      <c r="D18" s="207"/>
      <c r="E18" s="207"/>
      <c r="F18" s="207"/>
      <c r="G18" s="207"/>
      <c r="H18" s="207"/>
      <c r="I18" s="207"/>
      <c r="J18" s="207"/>
    </row>
    <row r="19" spans="1:10" s="1" customFormat="1" x14ac:dyDescent="0.25">
      <c r="A19" s="6">
        <v>3</v>
      </c>
      <c r="B19" s="7" t="s">
        <v>107</v>
      </c>
      <c r="C19" s="8"/>
      <c r="D19" s="8"/>
      <c r="E19" s="8"/>
      <c r="F19" s="8"/>
      <c r="G19" s="8"/>
      <c r="H19" s="8"/>
      <c r="I19" s="8"/>
      <c r="J19" s="8"/>
    </row>
    <row r="20" spans="1:10" s="219" customFormat="1" x14ac:dyDescent="0.25">
      <c r="A20" s="218"/>
      <c r="B20" s="208" t="s">
        <v>510</v>
      </c>
      <c r="C20" s="207"/>
      <c r="D20" s="207"/>
      <c r="E20" s="207"/>
      <c r="F20" s="8">
        <f>D20-E20</f>
        <v>0</v>
      </c>
      <c r="G20" s="207"/>
      <c r="H20" s="8">
        <f>C20-E20</f>
        <v>0</v>
      </c>
      <c r="I20" s="8">
        <f>G20-H20</f>
        <v>0</v>
      </c>
      <c r="J20" s="8">
        <f>F20+I20</f>
        <v>0</v>
      </c>
    </row>
    <row r="21" spans="1:10" s="219" customFormat="1" x14ac:dyDescent="0.25">
      <c r="A21" s="218"/>
      <c r="B21" s="208" t="s">
        <v>511</v>
      </c>
      <c r="C21" s="207"/>
      <c r="D21" s="207"/>
      <c r="E21" s="207"/>
      <c r="F21" s="8">
        <f>D21-E21</f>
        <v>0</v>
      </c>
      <c r="G21" s="207"/>
      <c r="H21" s="8">
        <f>C21-E21</f>
        <v>0</v>
      </c>
      <c r="I21" s="8">
        <f>G21-H21</f>
        <v>0</v>
      </c>
      <c r="J21" s="8">
        <f>F21+I21</f>
        <v>0</v>
      </c>
    </row>
    <row r="22" spans="1:10" s="1" customFormat="1" x14ac:dyDescent="0.25">
      <c r="A22" s="6"/>
      <c r="B22" s="6" t="s">
        <v>29</v>
      </c>
      <c r="C22" s="8">
        <f>SUM(C20:C21)</f>
        <v>0</v>
      </c>
      <c r="D22" s="8">
        <f t="shared" ref="D22:J22" si="2">SUM(D20:D21)</f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</row>
    <row r="23" spans="1:10" s="219" customFormat="1" x14ac:dyDescent="0.25">
      <c r="A23" s="218"/>
      <c r="B23" s="208"/>
      <c r="C23" s="207"/>
      <c r="D23" s="207"/>
      <c r="E23" s="207"/>
      <c r="F23" s="207"/>
      <c r="G23" s="207"/>
      <c r="H23" s="207"/>
      <c r="I23" s="207"/>
      <c r="J23" s="207"/>
    </row>
    <row r="24" spans="1:10" s="1" customFormat="1" x14ac:dyDescent="0.25">
      <c r="A24" s="6">
        <v>4</v>
      </c>
      <c r="B24" s="7" t="s">
        <v>512</v>
      </c>
      <c r="C24" s="8"/>
      <c r="D24" s="8"/>
      <c r="E24" s="8"/>
      <c r="F24" s="8"/>
      <c r="G24" s="8"/>
      <c r="H24" s="8"/>
      <c r="I24" s="8"/>
      <c r="J24" s="8"/>
    </row>
    <row r="25" spans="1:10" s="219" customFormat="1" x14ac:dyDescent="0.25">
      <c r="A25" s="218"/>
      <c r="B25" s="208" t="s">
        <v>513</v>
      </c>
      <c r="C25" s="207"/>
      <c r="D25" s="207"/>
      <c r="E25" s="207"/>
      <c r="F25" s="8">
        <f>D25-E25</f>
        <v>0</v>
      </c>
      <c r="G25" s="207"/>
      <c r="H25" s="8">
        <f>C25-E25</f>
        <v>0</v>
      </c>
      <c r="I25" s="8">
        <f>G25-H25</f>
        <v>0</v>
      </c>
      <c r="J25" s="8">
        <f>F25+I25</f>
        <v>0</v>
      </c>
    </row>
    <row r="26" spans="1:10" s="2" customFormat="1" x14ac:dyDescent="0.25">
      <c r="A26" s="6"/>
      <c r="B26" s="6" t="s">
        <v>29</v>
      </c>
      <c r="C26" s="18">
        <f>SUM(C25)</f>
        <v>0</v>
      </c>
      <c r="D26" s="18">
        <f t="shared" ref="D26:J26" si="3">SUM(D25)</f>
        <v>0</v>
      </c>
      <c r="E26" s="18">
        <f t="shared" si="3"/>
        <v>0</v>
      </c>
      <c r="F26" s="18">
        <f t="shared" si="3"/>
        <v>0</v>
      </c>
      <c r="G26" s="18">
        <f t="shared" si="3"/>
        <v>0</v>
      </c>
      <c r="H26" s="18">
        <f t="shared" si="3"/>
        <v>0</v>
      </c>
      <c r="I26" s="18">
        <f t="shared" si="3"/>
        <v>0</v>
      </c>
      <c r="J26" s="18">
        <f t="shared" si="3"/>
        <v>0</v>
      </c>
    </row>
    <row r="27" spans="1:10" s="2" customFormat="1" x14ac:dyDescent="0.25">
      <c r="A27" s="6"/>
      <c r="B27" s="6"/>
      <c r="C27" s="18"/>
      <c r="D27" s="18"/>
      <c r="E27" s="18"/>
      <c r="F27" s="18"/>
      <c r="G27" s="18"/>
      <c r="H27" s="18"/>
      <c r="I27" s="18"/>
      <c r="J27" s="18"/>
    </row>
    <row r="28" spans="1:10" s="1" customFormat="1" x14ac:dyDescent="0.25">
      <c r="A28" s="6">
        <v>5</v>
      </c>
      <c r="B28" s="7" t="s">
        <v>106</v>
      </c>
      <c r="C28" s="8"/>
      <c r="D28" s="8"/>
      <c r="E28" s="8"/>
      <c r="F28" s="8"/>
      <c r="G28" s="8"/>
      <c r="H28" s="8"/>
      <c r="I28" s="8"/>
      <c r="J28" s="8"/>
    </row>
    <row r="29" spans="1:10" s="219" customFormat="1" x14ac:dyDescent="0.25">
      <c r="A29" s="218"/>
      <c r="B29" s="208" t="s">
        <v>654</v>
      </c>
      <c r="C29" s="482"/>
      <c r="D29" s="207"/>
      <c r="E29" s="207"/>
      <c r="F29" s="8">
        <f>D29-E29</f>
        <v>0</v>
      </c>
      <c r="G29" s="482"/>
      <c r="H29" s="8">
        <f>C29-E29</f>
        <v>0</v>
      </c>
      <c r="I29" s="8">
        <f>G29-H29</f>
        <v>0</v>
      </c>
      <c r="J29" s="8">
        <f>F29+I29</f>
        <v>0</v>
      </c>
    </row>
    <row r="30" spans="1:10" s="219" customFormat="1" x14ac:dyDescent="0.25">
      <c r="A30" s="218"/>
      <c r="B30" s="208" t="s">
        <v>655</v>
      </c>
      <c r="C30" s="482"/>
      <c r="D30" s="207"/>
      <c r="E30" s="207"/>
      <c r="F30" s="8">
        <f>D30-E30</f>
        <v>0</v>
      </c>
      <c r="G30" s="482"/>
      <c r="H30" s="8">
        <f>C30-E30</f>
        <v>0</v>
      </c>
      <c r="I30" s="8">
        <f>G30-H30</f>
        <v>0</v>
      </c>
      <c r="J30" s="8">
        <f>F30+I30</f>
        <v>0</v>
      </c>
    </row>
    <row r="31" spans="1:10" s="219" customFormat="1" x14ac:dyDescent="0.25">
      <c r="A31" s="218"/>
      <c r="B31" s="208" t="s">
        <v>656</v>
      </c>
      <c r="C31" s="207"/>
      <c r="D31" s="207"/>
      <c r="E31" s="207"/>
      <c r="F31" s="8">
        <f>D31-E31</f>
        <v>0</v>
      </c>
      <c r="G31" s="207"/>
      <c r="H31" s="8">
        <f>C31-E31</f>
        <v>0</v>
      </c>
      <c r="I31" s="8">
        <f>G31-H31</f>
        <v>0</v>
      </c>
      <c r="J31" s="8">
        <f>F31+I31</f>
        <v>0</v>
      </c>
    </row>
    <row r="32" spans="1:10" s="219" customFormat="1" x14ac:dyDescent="0.25">
      <c r="A32" s="218"/>
      <c r="B32" s="208" t="s">
        <v>657</v>
      </c>
      <c r="C32" s="207"/>
      <c r="D32" s="207"/>
      <c r="E32" s="207"/>
      <c r="F32" s="8">
        <f>D32-E32</f>
        <v>0</v>
      </c>
      <c r="G32" s="207"/>
      <c r="H32" s="8">
        <f>C32-E32</f>
        <v>0</v>
      </c>
      <c r="I32" s="8">
        <f>G32-H32</f>
        <v>0</v>
      </c>
      <c r="J32" s="8">
        <f>F32+I32</f>
        <v>0</v>
      </c>
    </row>
    <row r="33" spans="1:10" s="2" customFormat="1" x14ac:dyDescent="0.25">
      <c r="A33" s="6"/>
      <c r="B33" s="6" t="s">
        <v>29</v>
      </c>
      <c r="C33" s="18">
        <f>SUM(C29:C32)</f>
        <v>0</v>
      </c>
      <c r="D33" s="18">
        <f t="shared" ref="D33:J33" si="4">SUM(D29:D32)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</row>
    <row r="34" spans="1:10" s="2" customFormat="1" x14ac:dyDescent="0.25">
      <c r="A34" s="6"/>
      <c r="B34" s="6" t="s">
        <v>28</v>
      </c>
      <c r="C34" s="18">
        <f>+C26+C11+C17+C22+C33</f>
        <v>85500000</v>
      </c>
      <c r="D34" s="18">
        <f t="shared" ref="D34:J34" si="5">+D26+D11+D17+D22+D33</f>
        <v>0</v>
      </c>
      <c r="E34" s="18">
        <f t="shared" si="5"/>
        <v>0</v>
      </c>
      <c r="F34" s="18">
        <f t="shared" si="5"/>
        <v>0</v>
      </c>
      <c r="G34" s="18">
        <f t="shared" si="5"/>
        <v>85500000</v>
      </c>
      <c r="H34" s="18">
        <f t="shared" si="5"/>
        <v>85500000</v>
      </c>
      <c r="I34" s="18">
        <f t="shared" si="5"/>
        <v>0</v>
      </c>
      <c r="J34" s="18">
        <f t="shared" si="5"/>
        <v>0</v>
      </c>
    </row>
    <row r="35" spans="1:10" x14ac:dyDescent="0.25">
      <c r="C35" s="3">
        <v>85500000</v>
      </c>
    </row>
    <row r="36" spans="1:10" x14ac:dyDescent="0.25">
      <c r="C36" s="3">
        <f>+C34-C35</f>
        <v>0</v>
      </c>
    </row>
  </sheetData>
  <sheetProtection algorithmName="SHA-512" hashValue="QgTBYz4X1S7LL207j5g52OMIRAeILQk9B1YaLzmqcR2/g9kjpYuAOgHvO6xUhb5hg+j3rb7xe692m6oB4cR/GQ==" saltValue="MNq/d2k51PkMwpSb5cnkIg==" spinCount="100000" sheet="1" objects="1" scenarios="1"/>
  <mergeCells count="1">
    <mergeCell ref="A1:J1"/>
  </mergeCells>
  <printOptions horizontalCentered="1"/>
  <pageMargins left="0.31496062992125984" right="0.31496062992125984" top="0.74803149606299213" bottom="0.74803149606299213" header="0.31496062992125984" footer="0.31496062992125984"/>
  <pageSetup paperSize="14" scale="5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H156"/>
  <sheetViews>
    <sheetView view="pageBreakPreview" zoomScale="80" zoomScaleNormal="100" zoomScaleSheetLayoutView="80" workbookViewId="0">
      <selection activeCell="C165" sqref="C165"/>
    </sheetView>
  </sheetViews>
  <sheetFormatPr defaultColWidth="29.140625" defaultRowHeight="14.25" x14ac:dyDescent="0.2"/>
  <cols>
    <col min="1" max="1" width="15.140625" style="604" customWidth="1"/>
    <col min="2" max="2" width="9.28515625" style="604" customWidth="1"/>
    <col min="3" max="3" width="68.85546875" style="604" customWidth="1"/>
    <col min="4" max="4" width="23.42578125" style="604" customWidth="1"/>
    <col min="5" max="5" width="24.28515625" style="604" customWidth="1"/>
    <col min="6" max="6" width="8.7109375" style="604" customWidth="1"/>
    <col min="7" max="7" width="24.7109375" style="604" customWidth="1"/>
    <col min="8" max="8" width="31" style="604" customWidth="1"/>
    <col min="9" max="16384" width="29.140625" style="604"/>
  </cols>
  <sheetData>
    <row r="1" spans="1:8" s="389" customFormat="1" ht="18" x14ac:dyDescent="0.25">
      <c r="A1" s="388"/>
      <c r="B1" s="388"/>
      <c r="C1" s="698" t="s">
        <v>127</v>
      </c>
      <c r="D1" s="698"/>
      <c r="E1" s="698"/>
      <c r="F1" s="698"/>
      <c r="G1" s="698"/>
    </row>
    <row r="2" spans="1:8" s="389" customFormat="1" ht="18" x14ac:dyDescent="0.25">
      <c r="A2" s="390"/>
      <c r="B2" s="390"/>
      <c r="C2" s="698" t="s">
        <v>936</v>
      </c>
      <c r="D2" s="698"/>
      <c r="E2" s="698"/>
      <c r="F2" s="698"/>
      <c r="G2" s="698"/>
    </row>
    <row r="3" spans="1:8" s="389" customFormat="1" ht="18" x14ac:dyDescent="0.25">
      <c r="A3" s="390"/>
      <c r="B3" s="390"/>
      <c r="C3" s="698" t="s">
        <v>1149</v>
      </c>
      <c r="D3" s="698"/>
      <c r="E3" s="698"/>
      <c r="F3" s="698"/>
      <c r="G3" s="698"/>
    </row>
    <row r="4" spans="1:8" ht="18" x14ac:dyDescent="0.25">
      <c r="A4" s="390"/>
      <c r="B4" s="390"/>
      <c r="C4" s="699" t="s">
        <v>937</v>
      </c>
      <c r="D4" s="699"/>
      <c r="E4" s="699"/>
      <c r="F4" s="699"/>
      <c r="G4" s="699"/>
    </row>
    <row r="5" spans="1:8" ht="15.75" x14ac:dyDescent="0.25">
      <c r="A5" s="605"/>
      <c r="B5" s="606"/>
      <c r="C5" s="607"/>
      <c r="D5" s="389"/>
      <c r="E5" s="389"/>
      <c r="F5" s="389"/>
    </row>
    <row r="6" spans="1:8" s="391" customFormat="1" ht="15.75" x14ac:dyDescent="0.25">
      <c r="A6" s="702" t="s">
        <v>402</v>
      </c>
      <c r="B6" s="703" t="s">
        <v>22</v>
      </c>
      <c r="C6" s="704" t="s">
        <v>23</v>
      </c>
      <c r="D6" s="705" t="s">
        <v>1144</v>
      </c>
      <c r="E6" s="704"/>
      <c r="F6" s="704"/>
      <c r="G6" s="701" t="s">
        <v>1145</v>
      </c>
      <c r="H6" s="700" t="s">
        <v>844</v>
      </c>
    </row>
    <row r="7" spans="1:8" s="391" customFormat="1" ht="15.75" x14ac:dyDescent="0.25">
      <c r="A7" s="702"/>
      <c r="B7" s="703"/>
      <c r="C7" s="704"/>
      <c r="D7" s="617" t="s">
        <v>24</v>
      </c>
      <c r="E7" s="617" t="s">
        <v>25</v>
      </c>
      <c r="F7" s="618" t="s">
        <v>129</v>
      </c>
      <c r="G7" s="701"/>
      <c r="H7" s="700"/>
    </row>
    <row r="8" spans="1:8" s="391" customFormat="1" ht="15.75" x14ac:dyDescent="0.25">
      <c r="A8" s="622"/>
      <c r="B8" s="623"/>
      <c r="C8" s="624"/>
      <c r="D8" s="624"/>
      <c r="E8" s="624"/>
      <c r="F8" s="625"/>
      <c r="G8" s="626"/>
      <c r="H8" s="627"/>
    </row>
    <row r="9" spans="1:8" s="394" customFormat="1" ht="15.75" x14ac:dyDescent="0.25">
      <c r="A9" s="613">
        <v>4</v>
      </c>
      <c r="B9" s="392">
        <v>1</v>
      </c>
      <c r="C9" s="393" t="s">
        <v>130</v>
      </c>
      <c r="D9" s="393"/>
      <c r="E9" s="393"/>
      <c r="F9" s="393"/>
      <c r="G9" s="393"/>
      <c r="H9" s="393"/>
    </row>
    <row r="10" spans="1:8" s="394" customFormat="1" ht="15.75" x14ac:dyDescent="0.25">
      <c r="A10" s="614" t="s">
        <v>405</v>
      </c>
      <c r="B10" s="395">
        <v>2</v>
      </c>
      <c r="C10" s="396" t="s">
        <v>131</v>
      </c>
      <c r="D10" s="397">
        <f>+D11+D12+D16+D17</f>
        <v>2425000000</v>
      </c>
      <c r="E10" s="397">
        <f>+E11+E12+E16+E17</f>
        <v>2236180000</v>
      </c>
      <c r="F10" s="397">
        <f>E10/D10*100</f>
        <v>92.213608247422684</v>
      </c>
      <c r="G10" s="397">
        <f>+G11+G12+G16+G17</f>
        <v>1940000000</v>
      </c>
      <c r="H10" s="396"/>
    </row>
    <row r="11" spans="1:8" s="394" customFormat="1" ht="15.75" x14ac:dyDescent="0.25">
      <c r="A11" s="614" t="s">
        <v>662</v>
      </c>
      <c r="B11" s="395">
        <v>3</v>
      </c>
      <c r="C11" s="396" t="s">
        <v>401</v>
      </c>
      <c r="D11" s="398">
        <v>0</v>
      </c>
      <c r="E11" s="398">
        <v>0</v>
      </c>
      <c r="F11" s="398">
        <v>0</v>
      </c>
      <c r="G11" s="398">
        <v>0</v>
      </c>
      <c r="H11" s="396"/>
    </row>
    <row r="12" spans="1:8" s="394" customFormat="1" ht="15.75" x14ac:dyDescent="0.25">
      <c r="A12" s="614" t="s">
        <v>663</v>
      </c>
      <c r="B12" s="395">
        <v>4</v>
      </c>
      <c r="C12" s="396" t="s">
        <v>114</v>
      </c>
      <c r="D12" s="397">
        <f>SUM(D13:D15)</f>
        <v>2425000000</v>
      </c>
      <c r="E12" s="397">
        <f>SUM(E13:E15)</f>
        <v>2236180000</v>
      </c>
      <c r="F12" s="397">
        <f>E12/D12*100</f>
        <v>92.213608247422684</v>
      </c>
      <c r="G12" s="397">
        <f>SUM(G13:G15)</f>
        <v>1940000000</v>
      </c>
      <c r="H12" s="396"/>
    </row>
    <row r="13" spans="1:8" s="401" customFormat="1" ht="15" x14ac:dyDescent="0.2">
      <c r="A13" s="615"/>
      <c r="B13" s="399"/>
      <c r="C13" s="376" t="s">
        <v>115</v>
      </c>
      <c r="D13" s="400"/>
      <c r="E13" s="400"/>
      <c r="F13" s="400">
        <v>0</v>
      </c>
      <c r="G13" s="400"/>
      <c r="H13" s="376"/>
    </row>
    <row r="14" spans="1:8" s="401" customFormat="1" ht="15" x14ac:dyDescent="0.2">
      <c r="A14" s="615"/>
      <c r="B14" s="399"/>
      <c r="C14" s="376" t="s">
        <v>116</v>
      </c>
      <c r="D14" s="400">
        <v>2425000000</v>
      </c>
      <c r="E14" s="400">
        <v>2236180000</v>
      </c>
      <c r="F14" s="400">
        <f>E14/D14*100</f>
        <v>92.213608247422684</v>
      </c>
      <c r="G14" s="400">
        <v>1940000000</v>
      </c>
      <c r="H14" s="376"/>
    </row>
    <row r="15" spans="1:8" s="401" customFormat="1" ht="15" x14ac:dyDescent="0.2">
      <c r="A15" s="615"/>
      <c r="B15" s="399"/>
      <c r="C15" s="376" t="s">
        <v>117</v>
      </c>
      <c r="D15" s="400"/>
      <c r="E15" s="400"/>
      <c r="F15" s="400">
        <v>0</v>
      </c>
      <c r="G15" s="400"/>
      <c r="H15" s="376"/>
    </row>
    <row r="16" spans="1:8" s="394" customFormat="1" ht="15.75" x14ac:dyDescent="0.25">
      <c r="A16" s="614" t="s">
        <v>664</v>
      </c>
      <c r="B16" s="395">
        <v>5</v>
      </c>
      <c r="C16" s="396" t="s">
        <v>400</v>
      </c>
      <c r="D16" s="398">
        <v>0</v>
      </c>
      <c r="E16" s="398">
        <v>0</v>
      </c>
      <c r="F16" s="398">
        <v>0</v>
      </c>
      <c r="G16" s="398">
        <v>0</v>
      </c>
      <c r="H16" s="396"/>
    </row>
    <row r="17" spans="1:8" s="394" customFormat="1" ht="15.75" x14ac:dyDescent="0.25">
      <c r="A17" s="614" t="s">
        <v>665</v>
      </c>
      <c r="B17" s="395">
        <v>6</v>
      </c>
      <c r="C17" s="396" t="s">
        <v>399</v>
      </c>
      <c r="D17" s="397">
        <f>SUM(D18:D30)</f>
        <v>0</v>
      </c>
      <c r="E17" s="397">
        <f>SUM(E18:E30)</f>
        <v>0</v>
      </c>
      <c r="F17" s="397">
        <v>0</v>
      </c>
      <c r="G17" s="397">
        <f>SUM(G18:G30)</f>
        <v>0</v>
      </c>
      <c r="H17" s="396"/>
    </row>
    <row r="18" spans="1:8" s="401" customFormat="1" ht="15" x14ac:dyDescent="0.2">
      <c r="A18" s="615"/>
      <c r="B18" s="399"/>
      <c r="C18" s="376" t="s">
        <v>1155</v>
      </c>
      <c r="D18" s="402">
        <v>0</v>
      </c>
      <c r="E18" s="402">
        <v>0</v>
      </c>
      <c r="F18" s="402">
        <v>0</v>
      </c>
      <c r="G18" s="402">
        <v>0</v>
      </c>
      <c r="H18" s="376"/>
    </row>
    <row r="19" spans="1:8" s="401" customFormat="1" ht="15" x14ac:dyDescent="0.2">
      <c r="A19" s="615"/>
      <c r="B19" s="399"/>
      <c r="C19" s="376" t="s">
        <v>666</v>
      </c>
      <c r="D19" s="402">
        <v>0</v>
      </c>
      <c r="E19" s="402">
        <v>0</v>
      </c>
      <c r="F19" s="402">
        <v>0</v>
      </c>
      <c r="G19" s="402">
        <v>0</v>
      </c>
      <c r="H19" s="376"/>
    </row>
    <row r="20" spans="1:8" s="401" customFormat="1" ht="15" x14ac:dyDescent="0.2">
      <c r="A20" s="615"/>
      <c r="B20" s="399"/>
      <c r="C20" s="376" t="s">
        <v>667</v>
      </c>
      <c r="D20" s="402">
        <v>0</v>
      </c>
      <c r="E20" s="402">
        <v>0</v>
      </c>
      <c r="F20" s="402">
        <v>0</v>
      </c>
      <c r="G20" s="402">
        <v>0</v>
      </c>
      <c r="H20" s="376"/>
    </row>
    <row r="21" spans="1:8" s="401" customFormat="1" ht="15" x14ac:dyDescent="0.2">
      <c r="A21" s="615"/>
      <c r="B21" s="399"/>
      <c r="C21" s="376" t="s">
        <v>668</v>
      </c>
      <c r="D21" s="402">
        <v>0</v>
      </c>
      <c r="E21" s="402">
        <v>0</v>
      </c>
      <c r="F21" s="402">
        <v>0</v>
      </c>
      <c r="G21" s="402">
        <v>0</v>
      </c>
      <c r="H21" s="376"/>
    </row>
    <row r="22" spans="1:8" s="401" customFormat="1" ht="15" x14ac:dyDescent="0.2">
      <c r="A22" s="615"/>
      <c r="B22" s="399"/>
      <c r="C22" s="376" t="s">
        <v>120</v>
      </c>
      <c r="D22" s="402">
        <v>0</v>
      </c>
      <c r="E22" s="402">
        <v>0</v>
      </c>
      <c r="F22" s="402">
        <v>0</v>
      </c>
      <c r="G22" s="402">
        <v>0</v>
      </c>
      <c r="H22" s="376"/>
    </row>
    <row r="23" spans="1:8" s="401" customFormat="1" ht="15" x14ac:dyDescent="0.2">
      <c r="A23" s="615"/>
      <c r="B23" s="399"/>
      <c r="C23" s="376" t="s">
        <v>121</v>
      </c>
      <c r="D23" s="402">
        <v>0</v>
      </c>
      <c r="E23" s="402">
        <v>0</v>
      </c>
      <c r="F23" s="402">
        <v>0</v>
      </c>
      <c r="G23" s="402">
        <v>0</v>
      </c>
      <c r="H23" s="376"/>
    </row>
    <row r="24" spans="1:8" s="401" customFormat="1" ht="15" x14ac:dyDescent="0.2">
      <c r="A24" s="615"/>
      <c r="B24" s="399"/>
      <c r="C24" s="376" t="s">
        <v>669</v>
      </c>
      <c r="D24" s="402">
        <v>0</v>
      </c>
      <c r="E24" s="402">
        <v>0</v>
      </c>
      <c r="F24" s="402">
        <v>0</v>
      </c>
      <c r="G24" s="402">
        <v>0</v>
      </c>
      <c r="H24" s="376"/>
    </row>
    <row r="25" spans="1:8" s="401" customFormat="1" ht="15" x14ac:dyDescent="0.2">
      <c r="A25" s="615"/>
      <c r="B25" s="399"/>
      <c r="C25" s="376" t="s">
        <v>670</v>
      </c>
      <c r="D25" s="402">
        <v>0</v>
      </c>
      <c r="E25" s="402">
        <v>0</v>
      </c>
      <c r="F25" s="402">
        <v>0</v>
      </c>
      <c r="G25" s="402">
        <v>0</v>
      </c>
      <c r="H25" s="376"/>
    </row>
    <row r="26" spans="1:8" s="401" customFormat="1" ht="15" x14ac:dyDescent="0.2">
      <c r="A26" s="615"/>
      <c r="B26" s="399"/>
      <c r="C26" s="376" t="s">
        <v>122</v>
      </c>
      <c r="D26" s="402">
        <v>0</v>
      </c>
      <c r="E26" s="402">
        <v>0</v>
      </c>
      <c r="F26" s="402">
        <v>0</v>
      </c>
      <c r="G26" s="402">
        <v>0</v>
      </c>
      <c r="H26" s="376"/>
    </row>
    <row r="27" spans="1:8" s="401" customFormat="1" ht="15" x14ac:dyDescent="0.2">
      <c r="A27" s="615"/>
      <c r="B27" s="399"/>
      <c r="C27" s="376" t="s">
        <v>671</v>
      </c>
      <c r="D27" s="402">
        <v>0</v>
      </c>
      <c r="E27" s="402">
        <v>0</v>
      </c>
      <c r="F27" s="402">
        <v>0</v>
      </c>
      <c r="G27" s="402">
        <v>0</v>
      </c>
      <c r="H27" s="376"/>
    </row>
    <row r="28" spans="1:8" s="401" customFormat="1" ht="15" x14ac:dyDescent="0.2">
      <c r="A28" s="615"/>
      <c r="B28" s="399"/>
      <c r="C28" s="376" t="s">
        <v>672</v>
      </c>
      <c r="D28" s="402">
        <v>0</v>
      </c>
      <c r="E28" s="402">
        <v>0</v>
      </c>
      <c r="F28" s="402">
        <v>0</v>
      </c>
      <c r="G28" s="402">
        <v>0</v>
      </c>
      <c r="H28" s="376"/>
    </row>
    <row r="29" spans="1:8" s="401" customFormat="1" ht="15" x14ac:dyDescent="0.2">
      <c r="A29" s="615"/>
      <c r="B29" s="399"/>
      <c r="C29" s="376" t="s">
        <v>673</v>
      </c>
      <c r="D29" s="402">
        <v>0</v>
      </c>
      <c r="E29" s="402">
        <v>0</v>
      </c>
      <c r="F29" s="402">
        <v>0</v>
      </c>
      <c r="G29" s="402">
        <v>0</v>
      </c>
      <c r="H29" s="376"/>
    </row>
    <row r="30" spans="1:8" s="401" customFormat="1" ht="15" x14ac:dyDescent="0.2">
      <c r="A30" s="615"/>
      <c r="B30" s="399"/>
      <c r="C30" s="376" t="s">
        <v>674</v>
      </c>
      <c r="D30" s="400"/>
      <c r="E30" s="400"/>
      <c r="F30" s="402">
        <v>0</v>
      </c>
      <c r="G30" s="489"/>
      <c r="H30" s="376"/>
    </row>
    <row r="31" spans="1:8" s="401" customFormat="1" ht="15.75" x14ac:dyDescent="0.25">
      <c r="A31" s="615"/>
      <c r="B31" s="399"/>
      <c r="C31" s="376"/>
      <c r="D31" s="397"/>
      <c r="E31" s="397"/>
      <c r="F31" s="397">
        <v>0</v>
      </c>
      <c r="G31" s="397"/>
      <c r="H31" s="376"/>
    </row>
    <row r="32" spans="1:8" s="394" customFormat="1" ht="15.75" x14ac:dyDescent="0.25">
      <c r="A32" s="614" t="s">
        <v>404</v>
      </c>
      <c r="B32" s="395">
        <v>7</v>
      </c>
      <c r="C32" s="396" t="s">
        <v>146</v>
      </c>
      <c r="D32" s="397">
        <f>D33+D38</f>
        <v>0</v>
      </c>
      <c r="E32" s="397">
        <f>E33+E38</f>
        <v>0</v>
      </c>
      <c r="F32" s="397">
        <v>0</v>
      </c>
      <c r="G32" s="397">
        <f>G33+G38</f>
        <v>0</v>
      </c>
      <c r="H32" s="396"/>
    </row>
    <row r="33" spans="1:8" s="394" customFormat="1" ht="15.75" x14ac:dyDescent="0.25">
      <c r="A33" s="614" t="s">
        <v>675</v>
      </c>
      <c r="B33" s="395">
        <v>8</v>
      </c>
      <c r="C33" s="403" t="s">
        <v>676</v>
      </c>
      <c r="D33" s="397">
        <f>SUM(D34:D37)</f>
        <v>0</v>
      </c>
      <c r="E33" s="397">
        <f>SUM(E34:E37)</f>
        <v>0</v>
      </c>
      <c r="F33" s="397">
        <v>0</v>
      </c>
      <c r="G33" s="397">
        <f>SUM(G34:G37)</f>
        <v>0</v>
      </c>
      <c r="H33" s="403"/>
    </row>
    <row r="34" spans="1:8" s="401" customFormat="1" ht="15" x14ac:dyDescent="0.2">
      <c r="A34" s="615" t="s">
        <v>677</v>
      </c>
      <c r="B34" s="399">
        <v>9</v>
      </c>
      <c r="C34" s="376" t="s">
        <v>148</v>
      </c>
      <c r="D34" s="402">
        <v>0</v>
      </c>
      <c r="E34" s="402">
        <v>0</v>
      </c>
      <c r="F34" s="402">
        <v>0</v>
      </c>
      <c r="G34" s="402">
        <v>0</v>
      </c>
      <c r="H34" s="376"/>
    </row>
    <row r="35" spans="1:8" s="401" customFormat="1" ht="15" x14ac:dyDescent="0.2">
      <c r="A35" s="615" t="s">
        <v>678</v>
      </c>
      <c r="B35" s="399">
        <v>10</v>
      </c>
      <c r="C35" s="376" t="s">
        <v>679</v>
      </c>
      <c r="D35" s="402">
        <v>0</v>
      </c>
      <c r="E35" s="402">
        <v>0</v>
      </c>
      <c r="F35" s="402">
        <v>0</v>
      </c>
      <c r="G35" s="402">
        <v>0</v>
      </c>
      <c r="H35" s="376"/>
    </row>
    <row r="36" spans="1:8" s="401" customFormat="1" ht="15" x14ac:dyDescent="0.2">
      <c r="A36" s="615" t="s">
        <v>680</v>
      </c>
      <c r="B36" s="399">
        <v>11</v>
      </c>
      <c r="C36" s="376" t="s">
        <v>150</v>
      </c>
      <c r="D36" s="402">
        <v>0</v>
      </c>
      <c r="E36" s="402">
        <v>0</v>
      </c>
      <c r="F36" s="402">
        <v>0</v>
      </c>
      <c r="G36" s="402">
        <v>0</v>
      </c>
      <c r="H36" s="376"/>
    </row>
    <row r="37" spans="1:8" s="401" customFormat="1" ht="15" x14ac:dyDescent="0.2">
      <c r="A37" s="615" t="s">
        <v>681</v>
      </c>
      <c r="B37" s="399">
        <v>12</v>
      </c>
      <c r="C37" s="376" t="s">
        <v>151</v>
      </c>
      <c r="D37" s="402">
        <v>0</v>
      </c>
      <c r="E37" s="402">
        <v>0</v>
      </c>
      <c r="F37" s="402">
        <v>0</v>
      </c>
      <c r="G37" s="402">
        <v>0</v>
      </c>
      <c r="H37" s="376"/>
    </row>
    <row r="38" spans="1:8" s="394" customFormat="1" ht="15.75" x14ac:dyDescent="0.25">
      <c r="A38" s="614" t="s">
        <v>682</v>
      </c>
      <c r="B38" s="395">
        <v>13</v>
      </c>
      <c r="C38" s="396" t="s">
        <v>683</v>
      </c>
      <c r="D38" s="397">
        <f>SUM(D39:D40)</f>
        <v>0</v>
      </c>
      <c r="E38" s="397">
        <f>SUM(E39:E40)</f>
        <v>0</v>
      </c>
      <c r="F38" s="397">
        <v>0</v>
      </c>
      <c r="G38" s="397">
        <f>SUM(G39:G40)</f>
        <v>0</v>
      </c>
      <c r="H38" s="396"/>
    </row>
    <row r="39" spans="1:8" s="394" customFormat="1" ht="15.75" x14ac:dyDescent="0.25">
      <c r="A39" s="615" t="s">
        <v>684</v>
      </c>
      <c r="B39" s="399">
        <v>14</v>
      </c>
      <c r="C39" s="376" t="s">
        <v>685</v>
      </c>
      <c r="D39" s="402">
        <v>0</v>
      </c>
      <c r="E39" s="402">
        <v>0</v>
      </c>
      <c r="F39" s="402">
        <v>0</v>
      </c>
      <c r="G39" s="402">
        <v>0</v>
      </c>
      <c r="H39" s="376"/>
    </row>
    <row r="40" spans="1:8" s="394" customFormat="1" ht="15.75" x14ac:dyDescent="0.25">
      <c r="A40" s="615" t="s">
        <v>686</v>
      </c>
      <c r="B40" s="399">
        <v>15</v>
      </c>
      <c r="C40" s="376" t="s">
        <v>155</v>
      </c>
      <c r="D40" s="402">
        <v>0</v>
      </c>
      <c r="E40" s="402">
        <v>0</v>
      </c>
      <c r="F40" s="402">
        <v>0</v>
      </c>
      <c r="G40" s="402">
        <v>0</v>
      </c>
      <c r="H40" s="376"/>
    </row>
    <row r="41" spans="1:8" s="394" customFormat="1" ht="15.75" x14ac:dyDescent="0.25">
      <c r="A41" s="614"/>
      <c r="B41" s="395"/>
      <c r="C41" s="396"/>
      <c r="D41" s="397"/>
      <c r="E41" s="397"/>
      <c r="F41" s="397">
        <v>0</v>
      </c>
      <c r="G41" s="397"/>
      <c r="H41" s="396"/>
    </row>
    <row r="42" spans="1:8" s="394" customFormat="1" ht="15.75" x14ac:dyDescent="0.25">
      <c r="A42" s="614" t="s">
        <v>403</v>
      </c>
      <c r="B42" s="395">
        <v>16</v>
      </c>
      <c r="C42" s="396" t="s">
        <v>398</v>
      </c>
      <c r="D42" s="397">
        <f>SUM(D43:D44)</f>
        <v>0</v>
      </c>
      <c r="E42" s="397">
        <f>SUM(E43:E44)</f>
        <v>0</v>
      </c>
      <c r="F42" s="397">
        <v>0</v>
      </c>
      <c r="G42" s="397">
        <f>SUM(G43:G44)</f>
        <v>0</v>
      </c>
      <c r="H42" s="396"/>
    </row>
    <row r="43" spans="1:8" s="401" customFormat="1" ht="15" x14ac:dyDescent="0.2">
      <c r="A43" s="615" t="s">
        <v>687</v>
      </c>
      <c r="B43" s="399">
        <v>17</v>
      </c>
      <c r="C43" s="376" t="s">
        <v>397</v>
      </c>
      <c r="D43" s="402">
        <v>0</v>
      </c>
      <c r="E43" s="402">
        <v>0</v>
      </c>
      <c r="F43" s="402">
        <v>0</v>
      </c>
      <c r="G43" s="402">
        <v>0</v>
      </c>
      <c r="H43" s="376"/>
    </row>
    <row r="44" spans="1:8" s="401" customFormat="1" ht="15" x14ac:dyDescent="0.2">
      <c r="A44" s="615" t="s">
        <v>688</v>
      </c>
      <c r="B44" s="399">
        <v>18</v>
      </c>
      <c r="C44" s="376" t="s">
        <v>396</v>
      </c>
      <c r="D44" s="402">
        <v>0</v>
      </c>
      <c r="E44" s="402">
        <v>0</v>
      </c>
      <c r="F44" s="402">
        <v>0</v>
      </c>
      <c r="G44" s="402">
        <v>0</v>
      </c>
      <c r="H44" s="376"/>
    </row>
    <row r="45" spans="1:8" s="401" customFormat="1" ht="15" x14ac:dyDescent="0.2">
      <c r="A45" s="615"/>
      <c r="B45" s="399"/>
      <c r="C45" s="376"/>
      <c r="D45" s="402"/>
      <c r="E45" s="402"/>
      <c r="F45" s="402">
        <v>0</v>
      </c>
      <c r="G45" s="402"/>
      <c r="H45" s="376"/>
    </row>
    <row r="46" spans="1:8" s="394" customFormat="1" ht="15.75" x14ac:dyDescent="0.25">
      <c r="A46" s="614"/>
      <c r="B46" s="395">
        <v>19</v>
      </c>
      <c r="C46" s="396" t="s">
        <v>395</v>
      </c>
      <c r="D46" s="397">
        <f>D10+D32+D42</f>
        <v>2425000000</v>
      </c>
      <c r="E46" s="397">
        <f>E10+E32+E42</f>
        <v>2236180000</v>
      </c>
      <c r="F46" s="397">
        <f>E46/D46*100</f>
        <v>92.213608247422684</v>
      </c>
      <c r="G46" s="397">
        <f>G10+G32+G42</f>
        <v>1940000000</v>
      </c>
      <c r="H46" s="396"/>
    </row>
    <row r="47" spans="1:8" s="394" customFormat="1" ht="15.75" x14ac:dyDescent="0.25">
      <c r="A47" s="614"/>
      <c r="B47" s="395"/>
      <c r="C47" s="396"/>
      <c r="D47" s="397"/>
      <c r="E47" s="397"/>
      <c r="F47" s="397"/>
      <c r="G47" s="397"/>
      <c r="H47" s="396"/>
    </row>
    <row r="48" spans="1:8" s="394" customFormat="1" ht="15.75" x14ac:dyDescent="0.25">
      <c r="A48" s="614">
        <v>5</v>
      </c>
      <c r="B48" s="395">
        <v>20</v>
      </c>
      <c r="C48" s="396" t="s">
        <v>367</v>
      </c>
      <c r="D48" s="397">
        <f>+D49+D94</f>
        <v>193628487000</v>
      </c>
      <c r="E48" s="397">
        <f>+E49+E94</f>
        <v>184322478397</v>
      </c>
      <c r="F48" s="397">
        <f>E48/D48*100</f>
        <v>95.193884563586977</v>
      </c>
      <c r="G48" s="397">
        <f>+G49+G94</f>
        <v>258611561084</v>
      </c>
      <c r="H48" s="396"/>
    </row>
    <row r="49" spans="1:8" s="394" customFormat="1" ht="15.75" x14ac:dyDescent="0.25">
      <c r="A49" s="614" t="s">
        <v>689</v>
      </c>
      <c r="B49" s="395">
        <v>21</v>
      </c>
      <c r="C49" s="396" t="s">
        <v>690</v>
      </c>
      <c r="D49" s="397">
        <f>+D50+D60+D89+D90</f>
        <v>190412837000</v>
      </c>
      <c r="E49" s="397">
        <f>+E50+E60+E89+E90</f>
        <v>181346314797</v>
      </c>
      <c r="F49" s="397">
        <f>E49/D49*100</f>
        <v>95.238492138531612</v>
      </c>
      <c r="G49" s="397">
        <f>+G50+G60+G89+G90</f>
        <v>246422642334</v>
      </c>
      <c r="H49" s="396"/>
    </row>
    <row r="50" spans="1:8" s="394" customFormat="1" ht="15.75" x14ac:dyDescent="0.25">
      <c r="A50" s="614" t="s">
        <v>691</v>
      </c>
      <c r="B50" s="395">
        <v>22</v>
      </c>
      <c r="C50" s="396" t="s">
        <v>392</v>
      </c>
      <c r="D50" s="397">
        <f>SUM(D51:D59)</f>
        <v>102667104000</v>
      </c>
      <c r="E50" s="397">
        <f>SUM(E51:E59)</f>
        <v>100407404174</v>
      </c>
      <c r="F50" s="397">
        <f>E50/D50*100</f>
        <v>97.799003051649336</v>
      </c>
      <c r="G50" s="397">
        <f>SUM(G51:G59)</f>
        <v>146289179053</v>
      </c>
      <c r="H50" s="396"/>
    </row>
    <row r="51" spans="1:8" s="401" customFormat="1" ht="15" x14ac:dyDescent="0.2">
      <c r="A51" s="615"/>
      <c r="B51" s="399"/>
      <c r="C51" s="376" t="s">
        <v>46</v>
      </c>
      <c r="D51" s="402">
        <v>41642484000</v>
      </c>
      <c r="E51" s="402">
        <v>40695277339</v>
      </c>
      <c r="F51" s="402">
        <f>E51/D51*100</f>
        <v>97.725383862787822</v>
      </c>
      <c r="G51" s="488">
        <v>56880884888</v>
      </c>
      <c r="H51" s="376"/>
    </row>
    <row r="52" spans="1:8" s="401" customFormat="1" ht="15" x14ac:dyDescent="0.2">
      <c r="A52" s="615"/>
      <c r="B52" s="399"/>
      <c r="C52" s="376" t="s">
        <v>47</v>
      </c>
      <c r="D52" s="402">
        <v>52052295000</v>
      </c>
      <c r="E52" s="402">
        <v>51138676835</v>
      </c>
      <c r="F52" s="402">
        <f>E52/D52*100</f>
        <v>98.244807140588136</v>
      </c>
      <c r="G52" s="488">
        <v>72678566065</v>
      </c>
      <c r="H52" s="376"/>
    </row>
    <row r="53" spans="1:8" s="401" customFormat="1" ht="15" x14ac:dyDescent="0.2">
      <c r="A53" s="615"/>
      <c r="B53" s="399"/>
      <c r="C53" s="376" t="s">
        <v>692</v>
      </c>
      <c r="D53" s="402"/>
      <c r="E53" s="402"/>
      <c r="F53" s="402">
        <v>0</v>
      </c>
      <c r="G53" s="402">
        <v>0</v>
      </c>
      <c r="H53" s="376"/>
    </row>
    <row r="54" spans="1:8" s="401" customFormat="1" ht="15" x14ac:dyDescent="0.2">
      <c r="A54" s="615"/>
      <c r="B54" s="399"/>
      <c r="C54" s="376" t="s">
        <v>693</v>
      </c>
      <c r="D54" s="402"/>
      <c r="E54" s="402"/>
      <c r="F54" s="402">
        <v>0</v>
      </c>
      <c r="G54" s="402">
        <v>0</v>
      </c>
      <c r="H54" s="376"/>
    </row>
    <row r="55" spans="1:8" s="401" customFormat="1" ht="15" x14ac:dyDescent="0.2">
      <c r="A55" s="615"/>
      <c r="B55" s="399"/>
      <c r="C55" s="376" t="s">
        <v>694</v>
      </c>
      <c r="D55" s="402"/>
      <c r="E55" s="402"/>
      <c r="F55" s="402">
        <v>0</v>
      </c>
      <c r="G55" s="402">
        <v>0</v>
      </c>
      <c r="H55" s="376"/>
    </row>
    <row r="56" spans="1:8" s="401" customFormat="1" ht="15" x14ac:dyDescent="0.2">
      <c r="A56" s="615"/>
      <c r="B56" s="399"/>
      <c r="C56" s="376" t="s">
        <v>695</v>
      </c>
      <c r="D56" s="402">
        <v>5737700000</v>
      </c>
      <c r="E56" s="402">
        <v>5468150000</v>
      </c>
      <c r="F56" s="402">
        <f>E56/D56*100</f>
        <v>95.302124544678179</v>
      </c>
      <c r="G56" s="402">
        <v>12184875000</v>
      </c>
      <c r="H56" s="376"/>
    </row>
    <row r="57" spans="1:8" s="401" customFormat="1" ht="15" x14ac:dyDescent="0.2">
      <c r="A57" s="615"/>
      <c r="B57" s="399"/>
      <c r="C57" s="376" t="s">
        <v>696</v>
      </c>
      <c r="D57" s="402">
        <v>3234625000</v>
      </c>
      <c r="E57" s="402">
        <v>3105300000</v>
      </c>
      <c r="F57" s="402">
        <f>E57/D57*100</f>
        <v>96.0018549290876</v>
      </c>
      <c r="G57" s="488">
        <v>4544853100</v>
      </c>
      <c r="H57" s="376"/>
    </row>
    <row r="58" spans="1:8" s="401" customFormat="1" ht="15" x14ac:dyDescent="0.2">
      <c r="A58" s="615"/>
      <c r="B58" s="399"/>
      <c r="C58" s="376" t="s">
        <v>697</v>
      </c>
      <c r="D58" s="402"/>
      <c r="E58" s="402"/>
      <c r="F58" s="402">
        <v>0</v>
      </c>
      <c r="G58" s="402">
        <v>0</v>
      </c>
      <c r="H58" s="376"/>
    </row>
    <row r="59" spans="1:8" s="401" customFormat="1" ht="15" x14ac:dyDescent="0.2">
      <c r="A59" s="615"/>
      <c r="B59" s="399"/>
      <c r="C59" s="376" t="s">
        <v>698</v>
      </c>
      <c r="D59" s="402"/>
      <c r="E59" s="402"/>
      <c r="F59" s="402">
        <v>0</v>
      </c>
      <c r="G59" s="488">
        <v>0</v>
      </c>
      <c r="H59" s="376"/>
    </row>
    <row r="60" spans="1:8" s="394" customFormat="1" ht="15.75" x14ac:dyDescent="0.25">
      <c r="A60" s="614" t="s">
        <v>699</v>
      </c>
      <c r="B60" s="395">
        <v>23</v>
      </c>
      <c r="C60" s="396" t="s">
        <v>391</v>
      </c>
      <c r="D60" s="397">
        <f>SUM(D61:D88)</f>
        <v>87745733000</v>
      </c>
      <c r="E60" s="397">
        <f>SUM(E61:E88)</f>
        <v>80938910623</v>
      </c>
      <c r="F60" s="397">
        <f t="shared" ref="F60:F68" si="0">E60/D60*100</f>
        <v>92.242560242786965</v>
      </c>
      <c r="G60" s="397">
        <f>SUM(G61:G88)</f>
        <v>100133463281</v>
      </c>
      <c r="H60" s="396"/>
    </row>
    <row r="61" spans="1:8" s="401" customFormat="1" ht="15" x14ac:dyDescent="0.2">
      <c r="A61" s="615"/>
      <c r="B61" s="399"/>
      <c r="C61" s="376" t="s">
        <v>700</v>
      </c>
      <c r="D61" s="402">
        <f>+LRA!C50</f>
        <v>6500617000</v>
      </c>
      <c r="E61" s="402">
        <f>+LRA!D50</f>
        <v>6009708715</v>
      </c>
      <c r="F61" s="402">
        <f t="shared" si="0"/>
        <v>92.448281678492989</v>
      </c>
      <c r="G61" s="402">
        <v>6629426152</v>
      </c>
      <c r="H61" s="376"/>
    </row>
    <row r="62" spans="1:8" s="401" customFormat="1" ht="15" x14ac:dyDescent="0.2">
      <c r="A62" s="615"/>
      <c r="B62" s="399"/>
      <c r="C62" s="376" t="s">
        <v>169</v>
      </c>
      <c r="D62" s="402">
        <f>+LRA!C65</f>
        <v>544250000</v>
      </c>
      <c r="E62" s="402">
        <f>+LRA!D65</f>
        <v>518256150</v>
      </c>
      <c r="F62" s="402">
        <f t="shared" si="0"/>
        <v>95.223913642627465</v>
      </c>
      <c r="G62" s="402">
        <v>543262730</v>
      </c>
      <c r="H62" s="376"/>
    </row>
    <row r="63" spans="1:8" s="401" customFormat="1" ht="15" x14ac:dyDescent="0.2">
      <c r="A63" s="615"/>
      <c r="B63" s="399"/>
      <c r="C63" s="376" t="s">
        <v>701</v>
      </c>
      <c r="D63" s="402">
        <f>+LRA!C71</f>
        <v>15187077000</v>
      </c>
      <c r="E63" s="402">
        <f>+LRA!D71</f>
        <v>14176135625</v>
      </c>
      <c r="F63" s="402">
        <f t="shared" si="0"/>
        <v>93.343410486428695</v>
      </c>
      <c r="G63" s="402">
        <v>17433354404</v>
      </c>
      <c r="H63" s="376"/>
    </row>
    <row r="64" spans="1:8" s="401" customFormat="1" ht="15" x14ac:dyDescent="0.2">
      <c r="A64" s="615"/>
      <c r="B64" s="399"/>
      <c r="C64" s="376" t="s">
        <v>702</v>
      </c>
      <c r="D64" s="402">
        <f>+LRA!C89</f>
        <v>571000000</v>
      </c>
      <c r="E64" s="402">
        <f>+LRA!D89</f>
        <v>541961500</v>
      </c>
      <c r="F64" s="402">
        <f t="shared" si="0"/>
        <v>94.914448336252192</v>
      </c>
      <c r="G64" s="402">
        <v>525684095</v>
      </c>
      <c r="H64" s="376"/>
    </row>
    <row r="65" spans="1:8" s="401" customFormat="1" ht="15" x14ac:dyDescent="0.2">
      <c r="A65" s="615"/>
      <c r="B65" s="399"/>
      <c r="C65" s="376" t="s">
        <v>703</v>
      </c>
      <c r="D65" s="402">
        <f>+LRA!C93</f>
        <v>3459000000</v>
      </c>
      <c r="E65" s="402">
        <f>+LRA!D93</f>
        <v>3195815089</v>
      </c>
      <c r="F65" s="402">
        <f t="shared" si="0"/>
        <v>92.391300636021967</v>
      </c>
      <c r="G65" s="402">
        <v>4901175460</v>
      </c>
      <c r="H65" s="376"/>
    </row>
    <row r="66" spans="1:8" s="401" customFormat="1" ht="15" x14ac:dyDescent="0.2">
      <c r="A66" s="615"/>
      <c r="B66" s="399"/>
      <c r="C66" s="376" t="s">
        <v>704</v>
      </c>
      <c r="D66" s="402">
        <f>+LRA!C97</f>
        <v>2627523000</v>
      </c>
      <c r="E66" s="402">
        <f>+LRA!D97</f>
        <v>2362276315</v>
      </c>
      <c r="F66" s="402">
        <f t="shared" si="0"/>
        <v>89.905067053647102</v>
      </c>
      <c r="G66" s="402">
        <v>5863251618</v>
      </c>
      <c r="H66" s="376"/>
    </row>
    <row r="67" spans="1:8" s="401" customFormat="1" ht="15" x14ac:dyDescent="0.2">
      <c r="A67" s="615"/>
      <c r="B67" s="399"/>
      <c r="C67" s="376" t="s">
        <v>705</v>
      </c>
      <c r="D67" s="402">
        <f>+LRA!C101</f>
        <v>2800150000</v>
      </c>
      <c r="E67" s="402">
        <f>+LRA!D101</f>
        <v>2584285000</v>
      </c>
      <c r="F67" s="402">
        <f t="shared" si="0"/>
        <v>92.290948699176838</v>
      </c>
      <c r="G67" s="402">
        <v>4690747732</v>
      </c>
      <c r="H67" s="376"/>
    </row>
    <row r="68" spans="1:8" s="401" customFormat="1" ht="15" x14ac:dyDescent="0.2">
      <c r="A68" s="615"/>
      <c r="B68" s="399"/>
      <c r="C68" s="376" t="s">
        <v>182</v>
      </c>
      <c r="D68" s="402">
        <f>+LRA!C107</f>
        <v>463750000</v>
      </c>
      <c r="E68" s="402">
        <f>+LRA!D107</f>
        <v>393420000</v>
      </c>
      <c r="F68" s="402">
        <f t="shared" si="0"/>
        <v>84.834501347708894</v>
      </c>
      <c r="G68" s="402">
        <v>128870000</v>
      </c>
      <c r="H68" s="376"/>
    </row>
    <row r="69" spans="1:8" s="401" customFormat="1" ht="15" x14ac:dyDescent="0.2">
      <c r="A69" s="615"/>
      <c r="B69" s="399"/>
      <c r="C69" s="376" t="s">
        <v>183</v>
      </c>
      <c r="D69" s="402"/>
      <c r="E69" s="402"/>
      <c r="F69" s="402">
        <v>0</v>
      </c>
      <c r="G69" s="402"/>
      <c r="H69" s="376"/>
    </row>
    <row r="70" spans="1:8" s="401" customFormat="1" ht="15" x14ac:dyDescent="0.2">
      <c r="A70" s="615"/>
      <c r="B70" s="399"/>
      <c r="C70" s="376" t="s">
        <v>706</v>
      </c>
      <c r="D70" s="402">
        <f>+LRA!C110</f>
        <v>3118663000</v>
      </c>
      <c r="E70" s="402">
        <f>+LRA!D110</f>
        <v>2707763000</v>
      </c>
      <c r="F70" s="402">
        <f>E70/D70*100</f>
        <v>86.82448215789907</v>
      </c>
      <c r="G70" s="402">
        <v>1569061800</v>
      </c>
      <c r="H70" s="376"/>
    </row>
    <row r="71" spans="1:8" s="401" customFormat="1" ht="15" x14ac:dyDescent="0.2">
      <c r="A71" s="615"/>
      <c r="B71" s="399"/>
      <c r="C71" s="376" t="s">
        <v>707</v>
      </c>
      <c r="D71" s="488">
        <f>+LRA!C118</f>
        <v>14731860000</v>
      </c>
      <c r="E71" s="488">
        <f>+LRA!D118</f>
        <v>13911856950</v>
      </c>
      <c r="F71" s="402">
        <f>E71/D71*100</f>
        <v>94.433811820096039</v>
      </c>
      <c r="G71" s="488">
        <v>11185595883</v>
      </c>
      <c r="H71" s="376"/>
    </row>
    <row r="72" spans="1:8" s="401" customFormat="1" ht="15" x14ac:dyDescent="0.2">
      <c r="A72" s="615"/>
      <c r="B72" s="399"/>
      <c r="C72" s="376" t="s">
        <v>171</v>
      </c>
      <c r="D72" s="402">
        <f>+LRA!C124</f>
        <v>19950000</v>
      </c>
      <c r="E72" s="402">
        <f>+LRA!D124</f>
        <v>19950000</v>
      </c>
      <c r="F72" s="402">
        <f>E72/D72*100</f>
        <v>100</v>
      </c>
      <c r="G72" s="402">
        <v>164315000</v>
      </c>
      <c r="H72" s="376"/>
    </row>
    <row r="73" spans="1:8" s="401" customFormat="1" ht="15" x14ac:dyDescent="0.2">
      <c r="A73" s="615"/>
      <c r="B73" s="399"/>
      <c r="C73" s="376" t="s">
        <v>586</v>
      </c>
      <c r="D73" s="402"/>
      <c r="E73" s="402"/>
      <c r="F73" s="402">
        <v>0</v>
      </c>
      <c r="G73" s="402"/>
      <c r="H73" s="376"/>
    </row>
    <row r="74" spans="1:8" s="401" customFormat="1" ht="15" x14ac:dyDescent="0.2">
      <c r="A74" s="615"/>
      <c r="B74" s="399"/>
      <c r="C74" s="376" t="s">
        <v>172</v>
      </c>
      <c r="D74" s="402">
        <f>+LRA!C127</f>
        <v>249300000</v>
      </c>
      <c r="E74" s="402">
        <f>+LRA!D127</f>
        <v>248160000</v>
      </c>
      <c r="F74" s="402">
        <f t="shared" ref="F74:F75" si="1">E74/D74*100</f>
        <v>99.542719614921779</v>
      </c>
      <c r="G74" s="402">
        <v>47319500</v>
      </c>
      <c r="H74" s="376"/>
    </row>
    <row r="75" spans="1:8" s="401" customFormat="1" ht="15" x14ac:dyDescent="0.2">
      <c r="A75" s="615"/>
      <c r="B75" s="399"/>
      <c r="C75" s="376" t="s">
        <v>708</v>
      </c>
      <c r="D75" s="402">
        <f>+LRA!C130</f>
        <v>152400000</v>
      </c>
      <c r="E75" s="402">
        <f>+LRA!D130</f>
        <v>59770000</v>
      </c>
      <c r="F75" s="402">
        <f t="shared" si="1"/>
        <v>39.219160104986877</v>
      </c>
      <c r="G75" s="402">
        <v>312730000</v>
      </c>
      <c r="H75" s="376"/>
    </row>
    <row r="76" spans="1:8" s="401" customFormat="1" ht="15" x14ac:dyDescent="0.2">
      <c r="A76" s="615"/>
      <c r="B76" s="399"/>
      <c r="C76" s="376" t="s">
        <v>180</v>
      </c>
      <c r="D76" s="402">
        <f>+LRA!C134</f>
        <v>30241050000</v>
      </c>
      <c r="E76" s="402">
        <f>+LRA!D134</f>
        <v>27755343078</v>
      </c>
      <c r="F76" s="402">
        <f>E76/D76*100</f>
        <v>91.780355106717522</v>
      </c>
      <c r="G76" s="402">
        <v>36290534376</v>
      </c>
      <c r="H76" s="376"/>
    </row>
    <row r="77" spans="1:8" s="401" customFormat="1" ht="15" x14ac:dyDescent="0.2">
      <c r="A77" s="615"/>
      <c r="B77" s="399"/>
      <c r="C77" s="376" t="s">
        <v>654</v>
      </c>
      <c r="D77" s="402"/>
      <c r="E77" s="402"/>
      <c r="F77" s="402">
        <v>0</v>
      </c>
      <c r="G77" s="402"/>
      <c r="H77" s="376"/>
    </row>
    <row r="78" spans="1:8" s="401" customFormat="1" ht="15" x14ac:dyDescent="0.2">
      <c r="A78" s="615"/>
      <c r="B78" s="399"/>
      <c r="C78" s="376" t="s">
        <v>709</v>
      </c>
      <c r="D78" s="488">
        <f>+LRA!C139</f>
        <v>88000000</v>
      </c>
      <c r="E78" s="488">
        <f>+LRA!D139</f>
        <v>85500000</v>
      </c>
      <c r="F78" s="402">
        <f>E78/D78*100</f>
        <v>97.159090909090907</v>
      </c>
      <c r="G78" s="488">
        <v>132848200</v>
      </c>
      <c r="H78" s="376"/>
    </row>
    <row r="79" spans="1:8" s="401" customFormat="1" ht="15" x14ac:dyDescent="0.2">
      <c r="A79" s="615"/>
      <c r="B79" s="399"/>
      <c r="C79" s="376" t="s">
        <v>179</v>
      </c>
      <c r="D79" s="488">
        <f>+LRA!C142</f>
        <v>5733708000</v>
      </c>
      <c r="E79" s="488">
        <f>+LRA!D142</f>
        <v>5274671701</v>
      </c>
      <c r="F79" s="402">
        <f>E79/D79*100</f>
        <v>91.994076102236107</v>
      </c>
      <c r="G79" s="488">
        <v>8285554331</v>
      </c>
      <c r="H79" s="376"/>
    </row>
    <row r="80" spans="1:8" s="401" customFormat="1" ht="15" x14ac:dyDescent="0.2">
      <c r="A80" s="615"/>
      <c r="B80" s="399"/>
      <c r="C80" s="376" t="s">
        <v>710</v>
      </c>
      <c r="D80" s="402">
        <f>+LRA!C148</f>
        <v>735500000</v>
      </c>
      <c r="E80" s="402">
        <f>+LRA!D148</f>
        <v>668867500</v>
      </c>
      <c r="F80" s="402">
        <f>E80/D80*100</f>
        <v>90.940516655336495</v>
      </c>
      <c r="G80" s="402">
        <v>686842000</v>
      </c>
      <c r="H80" s="376"/>
    </row>
    <row r="81" spans="1:8" s="401" customFormat="1" ht="15" x14ac:dyDescent="0.2">
      <c r="A81" s="615"/>
      <c r="B81" s="399"/>
      <c r="C81" s="376" t="s">
        <v>512</v>
      </c>
      <c r="D81" s="402"/>
      <c r="E81" s="402"/>
      <c r="F81" s="402">
        <v>0</v>
      </c>
      <c r="G81" s="402"/>
      <c r="H81" s="376"/>
    </row>
    <row r="82" spans="1:8" s="401" customFormat="1" ht="15" x14ac:dyDescent="0.2">
      <c r="A82" s="615"/>
      <c r="B82" s="399"/>
      <c r="C82" s="376" t="s">
        <v>711</v>
      </c>
      <c r="D82" s="402"/>
      <c r="E82" s="402"/>
      <c r="F82" s="402">
        <v>0</v>
      </c>
      <c r="G82" s="402"/>
      <c r="H82" s="376"/>
    </row>
    <row r="83" spans="1:8" s="401" customFormat="1" ht="15" x14ac:dyDescent="0.2">
      <c r="A83" s="615"/>
      <c r="B83" s="399"/>
      <c r="C83" s="376" t="s">
        <v>712</v>
      </c>
      <c r="D83" s="402"/>
      <c r="E83" s="402"/>
      <c r="F83" s="402">
        <v>0</v>
      </c>
      <c r="G83" s="402"/>
      <c r="H83" s="376"/>
    </row>
    <row r="84" spans="1:8" s="401" customFormat="1" ht="15" x14ac:dyDescent="0.2">
      <c r="A84" s="615"/>
      <c r="B84" s="399"/>
      <c r="C84" s="376" t="s">
        <v>713</v>
      </c>
      <c r="D84" s="402">
        <f>+LRA!C158</f>
        <v>454000000</v>
      </c>
      <c r="E84" s="402">
        <f>+LRA!D158</f>
        <v>358000000</v>
      </c>
      <c r="F84" s="402">
        <f>E84/D84*100</f>
        <v>78.854625550660799</v>
      </c>
      <c r="G84" s="402">
        <v>668000000</v>
      </c>
      <c r="H84" s="376"/>
    </row>
    <row r="85" spans="1:8" s="401" customFormat="1" ht="15" x14ac:dyDescent="0.2">
      <c r="A85" s="615"/>
      <c r="B85" s="399"/>
      <c r="C85" s="376" t="s">
        <v>714</v>
      </c>
      <c r="D85" s="402"/>
      <c r="E85" s="402"/>
      <c r="F85" s="402">
        <v>0</v>
      </c>
      <c r="G85" s="402"/>
      <c r="H85" s="376"/>
    </row>
    <row r="86" spans="1:8" s="401" customFormat="1" ht="15" x14ac:dyDescent="0.2">
      <c r="A86" s="615"/>
      <c r="B86" s="399"/>
      <c r="C86" s="376" t="s">
        <v>52</v>
      </c>
      <c r="D86" s="402">
        <f>+LRA!C154</f>
        <v>67935000</v>
      </c>
      <c r="E86" s="402">
        <f>+LRA!D154</f>
        <v>67170000</v>
      </c>
      <c r="F86" s="402">
        <f>E86/D86*100</f>
        <v>98.873923603444467</v>
      </c>
      <c r="G86" s="402">
        <v>74890000</v>
      </c>
      <c r="H86" s="376"/>
    </row>
    <row r="87" spans="1:8" s="401" customFormat="1" ht="15" x14ac:dyDescent="0.2">
      <c r="A87" s="615"/>
      <c r="B87" s="399"/>
      <c r="C87" s="376" t="s">
        <v>715</v>
      </c>
      <c r="D87" s="402"/>
      <c r="E87" s="402"/>
      <c r="F87" s="402">
        <v>0</v>
      </c>
      <c r="G87" s="402"/>
      <c r="H87" s="376"/>
    </row>
    <row r="88" spans="1:8" s="401" customFormat="1" ht="15" x14ac:dyDescent="0.2">
      <c r="A88" s="615"/>
      <c r="B88" s="399"/>
      <c r="C88" s="376" t="s">
        <v>716</v>
      </c>
      <c r="D88" s="488"/>
      <c r="E88" s="488"/>
      <c r="F88" s="402">
        <v>0</v>
      </c>
      <c r="G88" s="488"/>
      <c r="H88" s="376"/>
    </row>
    <row r="89" spans="1:8" s="394" customFormat="1" ht="15.75" x14ac:dyDescent="0.25">
      <c r="A89" s="614" t="s">
        <v>717</v>
      </c>
      <c r="B89" s="395">
        <v>24</v>
      </c>
      <c r="C89" s="396" t="s">
        <v>175</v>
      </c>
      <c r="D89" s="397">
        <v>0</v>
      </c>
      <c r="E89" s="397">
        <v>0</v>
      </c>
      <c r="F89" s="397">
        <v>0</v>
      </c>
      <c r="G89" s="397">
        <v>0</v>
      </c>
      <c r="H89" s="396"/>
    </row>
    <row r="90" spans="1:8" s="394" customFormat="1" ht="15.75" x14ac:dyDescent="0.25">
      <c r="A90" s="614" t="s">
        <v>718</v>
      </c>
      <c r="B90" s="395">
        <v>25</v>
      </c>
      <c r="C90" s="396" t="s">
        <v>394</v>
      </c>
      <c r="D90" s="397">
        <v>0</v>
      </c>
      <c r="E90" s="397">
        <v>0</v>
      </c>
      <c r="F90" s="397">
        <v>0</v>
      </c>
      <c r="G90" s="397">
        <v>0</v>
      </c>
      <c r="H90" s="396"/>
    </row>
    <row r="91" spans="1:8" s="401" customFormat="1" ht="15" x14ac:dyDescent="0.2">
      <c r="A91" s="615"/>
      <c r="B91" s="399"/>
      <c r="C91" s="376"/>
      <c r="D91" s="402"/>
      <c r="E91" s="402"/>
      <c r="F91" s="402">
        <v>0</v>
      </c>
      <c r="G91" s="402"/>
      <c r="H91" s="376"/>
    </row>
    <row r="92" spans="1:8" s="401" customFormat="1" ht="15" x14ac:dyDescent="0.2">
      <c r="A92" s="615"/>
      <c r="B92" s="399"/>
      <c r="C92" s="376"/>
      <c r="D92" s="402"/>
      <c r="E92" s="402"/>
      <c r="F92" s="402"/>
      <c r="G92" s="402"/>
      <c r="H92" s="376"/>
    </row>
    <row r="93" spans="1:8" s="401" customFormat="1" ht="15" x14ac:dyDescent="0.2">
      <c r="A93" s="615"/>
      <c r="B93" s="399"/>
      <c r="C93" s="376"/>
      <c r="D93" s="402"/>
      <c r="E93" s="402"/>
      <c r="F93" s="402"/>
      <c r="G93" s="402"/>
      <c r="H93" s="376"/>
    </row>
    <row r="94" spans="1:8" s="394" customFormat="1" ht="15.75" x14ac:dyDescent="0.25">
      <c r="A94" s="614" t="s">
        <v>719</v>
      </c>
      <c r="B94" s="395">
        <v>26</v>
      </c>
      <c r="C94" s="396" t="s">
        <v>342</v>
      </c>
      <c r="D94" s="397">
        <f>D95+D98+D109+D113+D119</f>
        <v>3215650000</v>
      </c>
      <c r="E94" s="397">
        <f>E95+E98+E109+E113+E119</f>
        <v>2976163600</v>
      </c>
      <c r="F94" s="397">
        <f>E94/D94*100</f>
        <v>92.552473061433929</v>
      </c>
      <c r="G94" s="397">
        <f>G98+G109+G113+G95+G119</f>
        <v>12188918750</v>
      </c>
      <c r="H94" s="396"/>
    </row>
    <row r="95" spans="1:8" s="394" customFormat="1" ht="15.75" x14ac:dyDescent="0.25">
      <c r="A95" s="614" t="s">
        <v>720</v>
      </c>
      <c r="B95" s="395">
        <v>27</v>
      </c>
      <c r="C95" s="396" t="s">
        <v>721</v>
      </c>
      <c r="D95" s="397">
        <f>D96</f>
        <v>0</v>
      </c>
      <c r="E95" s="397">
        <f>E96</f>
        <v>0</v>
      </c>
      <c r="F95" s="397">
        <v>0</v>
      </c>
      <c r="G95" s="397">
        <f>G96</f>
        <v>0</v>
      </c>
      <c r="H95" s="396"/>
    </row>
    <row r="96" spans="1:8" s="401" customFormat="1" ht="15" x14ac:dyDescent="0.2">
      <c r="A96" s="615"/>
      <c r="B96" s="399"/>
      <c r="C96" s="376" t="s">
        <v>215</v>
      </c>
      <c r="D96" s="402"/>
      <c r="E96" s="402"/>
      <c r="F96" s="402">
        <v>0</v>
      </c>
      <c r="G96" s="402"/>
      <c r="H96" s="376"/>
    </row>
    <row r="97" spans="1:8" s="401" customFormat="1" ht="15" x14ac:dyDescent="0.2">
      <c r="A97" s="615"/>
      <c r="B97" s="399"/>
      <c r="C97" s="376"/>
      <c r="D97" s="402"/>
      <c r="E97" s="402"/>
      <c r="F97" s="402">
        <v>0</v>
      </c>
      <c r="G97" s="402"/>
      <c r="H97" s="376"/>
    </row>
    <row r="98" spans="1:8" s="394" customFormat="1" ht="15.75" x14ac:dyDescent="0.25">
      <c r="A98" s="614"/>
      <c r="B98" s="395"/>
      <c r="C98" s="396" t="s">
        <v>722</v>
      </c>
      <c r="D98" s="397">
        <f>SUM(D99:D107)</f>
        <v>3169600000</v>
      </c>
      <c r="E98" s="397">
        <f>SUM(E99:E107)</f>
        <v>2939316000</v>
      </c>
      <c r="F98" s="397">
        <f>E98/D98*100</f>
        <v>92.734603735487127</v>
      </c>
      <c r="G98" s="397">
        <f>SUM(G99:G107)</f>
        <v>11798666500</v>
      </c>
      <c r="H98" s="396"/>
    </row>
    <row r="99" spans="1:8" s="401" customFormat="1" ht="15" x14ac:dyDescent="0.2">
      <c r="A99" s="615"/>
      <c r="B99" s="399"/>
      <c r="C99" s="376" t="s">
        <v>345</v>
      </c>
      <c r="D99" s="402">
        <f>+LRA!C163+LRA!C166</f>
        <v>886564000</v>
      </c>
      <c r="E99" s="402">
        <f>+LRA!D163+LRA!D166</f>
        <v>856002500</v>
      </c>
      <c r="F99" s="402">
        <f t="shared" ref="F99:F100" si="2">E99/D99*100</f>
        <v>96.55281513799342</v>
      </c>
      <c r="G99" s="402">
        <v>577319000</v>
      </c>
      <c r="H99" s="376"/>
    </row>
    <row r="100" spans="1:8" s="401" customFormat="1" ht="15" x14ac:dyDescent="0.2">
      <c r="A100" s="615"/>
      <c r="B100" s="399"/>
      <c r="C100" s="376" t="s">
        <v>346</v>
      </c>
      <c r="D100" s="402">
        <f>+LRA!C169</f>
        <v>177350000</v>
      </c>
      <c r="E100" s="402">
        <f>+LRA!D169</f>
        <v>151750000</v>
      </c>
      <c r="F100" s="402">
        <f t="shared" si="2"/>
        <v>85.565266422328733</v>
      </c>
      <c r="G100" s="402">
        <v>6515552000</v>
      </c>
      <c r="H100" s="376"/>
    </row>
    <row r="101" spans="1:8" s="401" customFormat="1" ht="15" x14ac:dyDescent="0.2">
      <c r="A101" s="615"/>
      <c r="B101" s="399"/>
      <c r="C101" s="376" t="s">
        <v>347</v>
      </c>
      <c r="D101" s="402"/>
      <c r="E101" s="402"/>
      <c r="F101" s="402">
        <v>0</v>
      </c>
      <c r="G101" s="402"/>
      <c r="H101" s="376"/>
    </row>
    <row r="102" spans="1:8" s="401" customFormat="1" ht="15" x14ac:dyDescent="0.2">
      <c r="A102" s="615"/>
      <c r="B102" s="399"/>
      <c r="C102" s="376" t="s">
        <v>348</v>
      </c>
      <c r="D102" s="402"/>
      <c r="E102" s="402"/>
      <c r="F102" s="402">
        <v>0</v>
      </c>
      <c r="G102" s="402"/>
      <c r="H102" s="376"/>
    </row>
    <row r="103" spans="1:8" s="401" customFormat="1" ht="15" x14ac:dyDescent="0.2">
      <c r="A103" s="615"/>
      <c r="B103" s="399"/>
      <c r="C103" s="376" t="s">
        <v>349</v>
      </c>
      <c r="D103" s="402">
        <f>+LRA!C172+LRA!C177</f>
        <v>1816536000</v>
      </c>
      <c r="E103" s="402">
        <f>+LRA!D172+LRA!D177</f>
        <v>1650713500</v>
      </c>
      <c r="F103" s="402">
        <f>E103/D103*100</f>
        <v>90.8714993812399</v>
      </c>
      <c r="G103" s="402">
        <v>4258098500</v>
      </c>
      <c r="H103" s="376"/>
    </row>
    <row r="104" spans="1:8" s="401" customFormat="1" ht="15" x14ac:dyDescent="0.2">
      <c r="A104" s="615"/>
      <c r="B104" s="399"/>
      <c r="C104" s="376" t="s">
        <v>350</v>
      </c>
      <c r="D104" s="402">
        <f>+LRA!C182+LRA!C185</f>
        <v>289150000</v>
      </c>
      <c r="E104" s="402">
        <f>+LRA!D182+LRA!D185</f>
        <v>280850000</v>
      </c>
      <c r="F104" s="402">
        <f>E104/D104*100</f>
        <v>97.129517551443882</v>
      </c>
      <c r="G104" s="402">
        <f>164966000+254231000</f>
        <v>419197000</v>
      </c>
      <c r="H104" s="376"/>
    </row>
    <row r="105" spans="1:8" s="401" customFormat="1" ht="15" x14ac:dyDescent="0.2">
      <c r="A105" s="615"/>
      <c r="B105" s="399"/>
      <c r="C105" s="376" t="s">
        <v>351</v>
      </c>
      <c r="D105" s="402"/>
      <c r="E105" s="402"/>
      <c r="F105" s="402">
        <v>0</v>
      </c>
      <c r="G105" s="402"/>
      <c r="H105" s="376"/>
    </row>
    <row r="106" spans="1:8" s="401" customFormat="1" ht="15" x14ac:dyDescent="0.2">
      <c r="A106" s="615"/>
      <c r="B106" s="399"/>
      <c r="C106" s="376" t="s">
        <v>352</v>
      </c>
      <c r="D106" s="402"/>
      <c r="E106" s="402"/>
      <c r="F106" s="402">
        <v>0</v>
      </c>
      <c r="G106" s="402"/>
      <c r="H106" s="376"/>
    </row>
    <row r="107" spans="1:8" s="401" customFormat="1" ht="15" x14ac:dyDescent="0.2">
      <c r="A107" s="615"/>
      <c r="B107" s="399"/>
      <c r="C107" s="376" t="s">
        <v>353</v>
      </c>
      <c r="D107" s="402"/>
      <c r="E107" s="402"/>
      <c r="F107" s="402">
        <v>0</v>
      </c>
      <c r="G107" s="402">
        <v>28500000</v>
      </c>
      <c r="H107" s="376"/>
    </row>
    <row r="108" spans="1:8" s="401" customFormat="1" ht="15" x14ac:dyDescent="0.2">
      <c r="A108" s="615"/>
      <c r="B108" s="399"/>
      <c r="C108" s="376"/>
      <c r="D108" s="402"/>
      <c r="E108" s="402"/>
      <c r="F108" s="402">
        <v>0</v>
      </c>
      <c r="G108" s="402"/>
      <c r="H108" s="376"/>
    </row>
    <row r="109" spans="1:8" s="394" customFormat="1" ht="15.75" x14ac:dyDescent="0.25">
      <c r="A109" s="614"/>
      <c r="B109" s="395"/>
      <c r="C109" s="396" t="s">
        <v>723</v>
      </c>
      <c r="D109" s="397">
        <f>SUM(D110:D111)</f>
        <v>0</v>
      </c>
      <c r="E109" s="397">
        <f>SUM(E110:E111)</f>
        <v>0</v>
      </c>
      <c r="F109" s="397">
        <v>0</v>
      </c>
      <c r="G109" s="397">
        <f>SUM(G110:G111)</f>
        <v>346839000</v>
      </c>
      <c r="H109" s="396"/>
    </row>
    <row r="110" spans="1:8" s="401" customFormat="1" ht="15" x14ac:dyDescent="0.2">
      <c r="A110" s="615"/>
      <c r="B110" s="399"/>
      <c r="C110" s="376" t="s">
        <v>228</v>
      </c>
      <c r="D110" s="402"/>
      <c r="E110" s="402"/>
      <c r="F110" s="402">
        <v>0</v>
      </c>
      <c r="G110" s="402">
        <v>346839000</v>
      </c>
      <c r="H110" s="376"/>
    </row>
    <row r="111" spans="1:8" s="401" customFormat="1" ht="15" x14ac:dyDescent="0.2">
      <c r="A111" s="615"/>
      <c r="B111" s="399"/>
      <c r="C111" s="376" t="s">
        <v>229</v>
      </c>
      <c r="D111" s="402"/>
      <c r="E111" s="402"/>
      <c r="F111" s="402">
        <v>0</v>
      </c>
      <c r="G111" s="402"/>
      <c r="H111" s="376"/>
    </row>
    <row r="112" spans="1:8" s="401" customFormat="1" ht="15" x14ac:dyDescent="0.2">
      <c r="A112" s="615"/>
      <c r="B112" s="399"/>
      <c r="C112" s="376"/>
      <c r="D112" s="402"/>
      <c r="E112" s="402"/>
      <c r="F112" s="402">
        <v>0</v>
      </c>
      <c r="G112" s="402"/>
      <c r="H112" s="376"/>
    </row>
    <row r="113" spans="1:8" s="394" customFormat="1" ht="15.75" x14ac:dyDescent="0.25">
      <c r="A113" s="614"/>
      <c r="B113" s="395"/>
      <c r="C113" s="396" t="s">
        <v>724</v>
      </c>
      <c r="D113" s="397">
        <f>SUM(D114:D117)</f>
        <v>0</v>
      </c>
      <c r="E113" s="397">
        <f>SUM(E114:E117)</f>
        <v>0</v>
      </c>
      <c r="F113" s="397">
        <v>0</v>
      </c>
      <c r="G113" s="397">
        <f>SUM(G114:G117)</f>
        <v>0</v>
      </c>
      <c r="H113" s="396"/>
    </row>
    <row r="114" spans="1:8" s="401" customFormat="1" ht="15" x14ac:dyDescent="0.2">
      <c r="A114" s="615"/>
      <c r="B114" s="399"/>
      <c r="C114" s="376" t="s">
        <v>231</v>
      </c>
      <c r="D114" s="402"/>
      <c r="E114" s="402"/>
      <c r="F114" s="402">
        <v>0</v>
      </c>
      <c r="G114" s="402"/>
      <c r="H114" s="376"/>
    </row>
    <row r="115" spans="1:8" s="401" customFormat="1" ht="15" x14ac:dyDescent="0.2">
      <c r="A115" s="615"/>
      <c r="B115" s="399"/>
      <c r="C115" s="376" t="s">
        <v>356</v>
      </c>
      <c r="D115" s="402"/>
      <c r="E115" s="402"/>
      <c r="F115" s="402">
        <v>0</v>
      </c>
      <c r="G115" s="402"/>
      <c r="H115" s="376"/>
    </row>
    <row r="116" spans="1:8" s="401" customFormat="1" ht="15" x14ac:dyDescent="0.2">
      <c r="A116" s="615"/>
      <c r="B116" s="399"/>
      <c r="C116" s="376" t="s">
        <v>357</v>
      </c>
      <c r="D116" s="402"/>
      <c r="E116" s="402"/>
      <c r="F116" s="402">
        <v>0</v>
      </c>
      <c r="G116" s="402"/>
      <c r="H116" s="376"/>
    </row>
    <row r="117" spans="1:8" s="401" customFormat="1" ht="15" x14ac:dyDescent="0.2">
      <c r="A117" s="615"/>
      <c r="B117" s="399"/>
      <c r="C117" s="376" t="s">
        <v>234</v>
      </c>
      <c r="D117" s="402"/>
      <c r="E117" s="402"/>
      <c r="F117" s="402">
        <v>0</v>
      </c>
      <c r="G117" s="402"/>
      <c r="H117" s="376"/>
    </row>
    <row r="118" spans="1:8" s="401" customFormat="1" ht="15" x14ac:dyDescent="0.2">
      <c r="A118" s="615"/>
      <c r="B118" s="399"/>
      <c r="C118" s="376"/>
      <c r="D118" s="402"/>
      <c r="E118" s="402"/>
      <c r="F118" s="402">
        <v>0</v>
      </c>
      <c r="G118" s="402"/>
      <c r="H118" s="376"/>
    </row>
    <row r="119" spans="1:8" s="394" customFormat="1" ht="15.75" x14ac:dyDescent="0.25">
      <c r="A119" s="614"/>
      <c r="B119" s="395"/>
      <c r="C119" s="396" t="s">
        <v>725</v>
      </c>
      <c r="D119" s="397">
        <f>SUM(D120:D122)</f>
        <v>46050000</v>
      </c>
      <c r="E119" s="397">
        <f>SUM(E120:E122)</f>
        <v>36847600</v>
      </c>
      <c r="F119" s="397">
        <f t="shared" ref="F119:F121" si="3">E119/D119*100</f>
        <v>80.016503800217151</v>
      </c>
      <c r="G119" s="397">
        <f>SUM(G120:G122)</f>
        <v>43413250</v>
      </c>
      <c r="H119" s="396"/>
    </row>
    <row r="120" spans="1:8" s="401" customFormat="1" ht="15" x14ac:dyDescent="0.2">
      <c r="A120" s="615"/>
      <c r="B120" s="399"/>
      <c r="C120" s="376" t="s">
        <v>359</v>
      </c>
      <c r="D120" s="402">
        <f>+LRA!C191</f>
        <v>35250000</v>
      </c>
      <c r="E120" s="402">
        <f>+LRA!D191</f>
        <v>26347600</v>
      </c>
      <c r="F120" s="402">
        <f t="shared" si="3"/>
        <v>74.7449645390071</v>
      </c>
      <c r="G120" s="402">
        <v>43413250</v>
      </c>
      <c r="H120" s="376"/>
    </row>
    <row r="121" spans="1:8" s="401" customFormat="1" ht="15" x14ac:dyDescent="0.2">
      <c r="A121" s="615"/>
      <c r="B121" s="399"/>
      <c r="C121" s="376" t="s">
        <v>237</v>
      </c>
      <c r="D121" s="402">
        <f>+LRA!C197</f>
        <v>10800000</v>
      </c>
      <c r="E121" s="402">
        <f>+LRA!D197</f>
        <v>10500000</v>
      </c>
      <c r="F121" s="402">
        <f t="shared" si="3"/>
        <v>97.222222222222214</v>
      </c>
      <c r="G121" s="402">
        <v>0</v>
      </c>
      <c r="H121" s="376"/>
    </row>
    <row r="122" spans="1:8" s="401" customFormat="1" ht="15" x14ac:dyDescent="0.2">
      <c r="A122" s="615"/>
      <c r="B122" s="399"/>
      <c r="C122" s="376" t="s">
        <v>360</v>
      </c>
      <c r="D122" s="402"/>
      <c r="E122" s="402"/>
      <c r="F122" s="402">
        <v>0</v>
      </c>
      <c r="G122" s="402"/>
      <c r="H122" s="376"/>
    </row>
    <row r="123" spans="1:8" s="401" customFormat="1" ht="15" x14ac:dyDescent="0.2">
      <c r="A123" s="615"/>
      <c r="B123" s="399"/>
      <c r="C123" s="376"/>
      <c r="D123" s="402"/>
      <c r="E123" s="402"/>
      <c r="F123" s="402">
        <v>0</v>
      </c>
      <c r="G123" s="402"/>
      <c r="H123" s="376"/>
    </row>
    <row r="124" spans="1:8" s="394" customFormat="1" ht="15.75" x14ac:dyDescent="0.25">
      <c r="A124" s="614" t="s">
        <v>726</v>
      </c>
      <c r="B124" s="395">
        <v>32</v>
      </c>
      <c r="C124" s="396" t="s">
        <v>727</v>
      </c>
      <c r="D124" s="397">
        <f>SUM(D125)</f>
        <v>0</v>
      </c>
      <c r="E124" s="397">
        <f>SUM(E125)</f>
        <v>0</v>
      </c>
      <c r="F124" s="397">
        <v>0</v>
      </c>
      <c r="G124" s="397">
        <f>SUM(G125)</f>
        <v>0</v>
      </c>
      <c r="H124" s="396"/>
    </row>
    <row r="125" spans="1:8" s="401" customFormat="1" ht="15" x14ac:dyDescent="0.2">
      <c r="A125" s="615" t="s">
        <v>728</v>
      </c>
      <c r="B125" s="399">
        <v>33</v>
      </c>
      <c r="C125" s="376" t="s">
        <v>393</v>
      </c>
      <c r="D125" s="402">
        <v>0</v>
      </c>
      <c r="E125" s="402">
        <v>0</v>
      </c>
      <c r="F125" s="402">
        <v>0</v>
      </c>
      <c r="G125" s="402">
        <v>0</v>
      </c>
      <c r="H125" s="376"/>
    </row>
    <row r="126" spans="1:8" s="401" customFormat="1" ht="15" x14ac:dyDescent="0.2">
      <c r="A126" s="615"/>
      <c r="B126" s="399"/>
      <c r="C126" s="376"/>
      <c r="D126" s="402"/>
      <c r="E126" s="402"/>
      <c r="F126" s="402">
        <v>0</v>
      </c>
      <c r="G126" s="402"/>
      <c r="H126" s="376"/>
    </row>
    <row r="127" spans="1:8" s="394" customFormat="1" ht="15.75" x14ac:dyDescent="0.25">
      <c r="A127" s="614" t="s">
        <v>729</v>
      </c>
      <c r="B127" s="395">
        <v>34</v>
      </c>
      <c r="C127" s="396" t="s">
        <v>730</v>
      </c>
      <c r="D127" s="397">
        <f>SUM(D128:D133)</f>
        <v>0</v>
      </c>
      <c r="E127" s="397">
        <f>SUM(E128:E133)</f>
        <v>0</v>
      </c>
      <c r="F127" s="397">
        <v>0</v>
      </c>
      <c r="G127" s="397">
        <f>SUM(G128:G133)</f>
        <v>0</v>
      </c>
      <c r="H127" s="396"/>
    </row>
    <row r="128" spans="1:8" s="401" customFormat="1" ht="15" x14ac:dyDescent="0.2">
      <c r="A128" s="615" t="s">
        <v>731</v>
      </c>
      <c r="B128" s="399">
        <v>35</v>
      </c>
      <c r="C128" s="376" t="s">
        <v>732</v>
      </c>
      <c r="D128" s="402">
        <v>0</v>
      </c>
      <c r="E128" s="402">
        <v>0</v>
      </c>
      <c r="F128" s="402">
        <v>0</v>
      </c>
      <c r="G128" s="402">
        <v>0</v>
      </c>
      <c r="H128" s="376"/>
    </row>
    <row r="129" spans="1:8" s="401" customFormat="1" ht="15" x14ac:dyDescent="0.2">
      <c r="A129" s="615" t="s">
        <v>733</v>
      </c>
      <c r="B129" s="399">
        <v>36</v>
      </c>
      <c r="C129" s="376" t="s">
        <v>734</v>
      </c>
      <c r="D129" s="402">
        <v>0</v>
      </c>
      <c r="E129" s="402">
        <v>0</v>
      </c>
      <c r="F129" s="402">
        <v>0</v>
      </c>
      <c r="G129" s="402">
        <v>0</v>
      </c>
      <c r="H129" s="376"/>
    </row>
    <row r="130" spans="1:8" s="401" customFormat="1" ht="15" x14ac:dyDescent="0.2">
      <c r="A130" s="615" t="s">
        <v>735</v>
      </c>
      <c r="B130" s="399">
        <v>37</v>
      </c>
      <c r="C130" s="376" t="s">
        <v>736</v>
      </c>
      <c r="D130" s="402">
        <v>0</v>
      </c>
      <c r="E130" s="402">
        <v>0</v>
      </c>
      <c r="F130" s="402">
        <v>0</v>
      </c>
      <c r="G130" s="402">
        <v>0</v>
      </c>
      <c r="H130" s="376"/>
    </row>
    <row r="131" spans="1:8" s="401" customFormat="1" ht="15" x14ac:dyDescent="0.2">
      <c r="A131" s="615" t="s">
        <v>737</v>
      </c>
      <c r="B131" s="399">
        <v>38</v>
      </c>
      <c r="C131" s="376" t="s">
        <v>738</v>
      </c>
      <c r="D131" s="402">
        <v>0</v>
      </c>
      <c r="E131" s="402">
        <v>0</v>
      </c>
      <c r="F131" s="402">
        <v>0</v>
      </c>
      <c r="G131" s="402">
        <v>0</v>
      </c>
      <c r="H131" s="376"/>
    </row>
    <row r="132" spans="1:8" s="401" customFormat="1" ht="15" x14ac:dyDescent="0.2">
      <c r="A132" s="615" t="s">
        <v>739</v>
      </c>
      <c r="B132" s="399">
        <v>39</v>
      </c>
      <c r="C132" s="376" t="s">
        <v>740</v>
      </c>
      <c r="D132" s="402">
        <v>0</v>
      </c>
      <c r="E132" s="402">
        <v>0</v>
      </c>
      <c r="F132" s="402">
        <v>0</v>
      </c>
      <c r="G132" s="402">
        <v>0</v>
      </c>
      <c r="H132" s="376"/>
    </row>
    <row r="133" spans="1:8" s="401" customFormat="1" ht="15" x14ac:dyDescent="0.2">
      <c r="A133" s="615" t="s">
        <v>741</v>
      </c>
      <c r="B133" s="399">
        <v>40</v>
      </c>
      <c r="C133" s="376" t="s">
        <v>742</v>
      </c>
      <c r="D133" s="402">
        <v>0</v>
      </c>
      <c r="E133" s="402">
        <v>0</v>
      </c>
      <c r="F133" s="402">
        <v>0</v>
      </c>
      <c r="G133" s="402">
        <v>0</v>
      </c>
      <c r="H133" s="376"/>
    </row>
    <row r="134" spans="1:8" s="401" customFormat="1" ht="15" x14ac:dyDescent="0.2">
      <c r="A134" s="615"/>
      <c r="B134" s="399"/>
      <c r="C134" s="376"/>
      <c r="D134" s="402"/>
      <c r="E134" s="402"/>
      <c r="F134" s="402">
        <v>0</v>
      </c>
      <c r="G134" s="402"/>
      <c r="H134" s="376"/>
    </row>
    <row r="135" spans="1:8" s="394" customFormat="1" ht="15.75" x14ac:dyDescent="0.25">
      <c r="A135" s="614"/>
      <c r="B135" s="395">
        <v>41</v>
      </c>
      <c r="C135" s="396" t="s">
        <v>390</v>
      </c>
      <c r="D135" s="397">
        <f>D49+D94+D124+D127</f>
        <v>193628487000</v>
      </c>
      <c r="E135" s="397">
        <f>E49+E94+E124+E127</f>
        <v>184322478397</v>
      </c>
      <c r="F135" s="397">
        <f>E135/D135*100</f>
        <v>95.193884563586977</v>
      </c>
      <c r="G135" s="397">
        <f>G49+G94+G124+G127</f>
        <v>258611561084</v>
      </c>
      <c r="H135" s="396"/>
    </row>
    <row r="136" spans="1:8" s="401" customFormat="1" ht="15" x14ac:dyDescent="0.2">
      <c r="A136" s="615"/>
      <c r="B136" s="399"/>
      <c r="C136" s="376"/>
      <c r="D136" s="402"/>
      <c r="E136" s="402"/>
      <c r="F136" s="402"/>
      <c r="G136" s="402"/>
      <c r="H136" s="376"/>
    </row>
    <row r="137" spans="1:8" s="394" customFormat="1" ht="15.75" x14ac:dyDescent="0.25">
      <c r="A137" s="614"/>
      <c r="B137" s="395">
        <v>42</v>
      </c>
      <c r="C137" s="404" t="s">
        <v>389</v>
      </c>
      <c r="D137" s="397">
        <f>D46-D135</f>
        <v>-191203487000</v>
      </c>
      <c r="E137" s="397">
        <f>E46-E135</f>
        <v>-182086298397</v>
      </c>
      <c r="F137" s="397">
        <f>E137/D137*100</f>
        <v>95.231682880867126</v>
      </c>
      <c r="G137" s="397">
        <f>G46-G135</f>
        <v>-256671561084</v>
      </c>
      <c r="H137" s="404"/>
    </row>
    <row r="138" spans="1:8" s="401" customFormat="1" ht="15.75" x14ac:dyDescent="0.25">
      <c r="A138" s="615"/>
      <c r="B138" s="399"/>
      <c r="C138" s="376"/>
      <c r="D138" s="397"/>
      <c r="E138" s="397"/>
      <c r="F138" s="397"/>
      <c r="G138" s="397"/>
      <c r="H138" s="376"/>
    </row>
    <row r="139" spans="1:8" s="394" customFormat="1" ht="15.75" x14ac:dyDescent="0.25">
      <c r="A139" s="614">
        <v>6</v>
      </c>
      <c r="B139" s="395">
        <v>43</v>
      </c>
      <c r="C139" s="396" t="s">
        <v>388</v>
      </c>
      <c r="D139" s="397"/>
      <c r="E139" s="397"/>
      <c r="F139" s="397">
        <v>0</v>
      </c>
      <c r="G139" s="397"/>
      <c r="H139" s="396"/>
    </row>
    <row r="140" spans="1:8" s="394" customFormat="1" ht="15.75" x14ac:dyDescent="0.25">
      <c r="A140" s="614" t="s">
        <v>743</v>
      </c>
      <c r="B140" s="395">
        <v>44</v>
      </c>
      <c r="C140" s="396" t="s">
        <v>387</v>
      </c>
      <c r="D140" s="397">
        <f>SUM(D141:D144)</f>
        <v>0</v>
      </c>
      <c r="E140" s="397">
        <f>SUM(E141:E144)</f>
        <v>0</v>
      </c>
      <c r="F140" s="397">
        <v>0</v>
      </c>
      <c r="G140" s="397">
        <f>SUM(G141:G144)</f>
        <v>0</v>
      </c>
      <c r="H140" s="396"/>
    </row>
    <row r="141" spans="1:8" s="401" customFormat="1" ht="15" x14ac:dyDescent="0.2">
      <c r="A141" s="615" t="s">
        <v>744</v>
      </c>
      <c r="B141" s="399">
        <v>45</v>
      </c>
      <c r="C141" s="376" t="s">
        <v>386</v>
      </c>
      <c r="D141" s="402">
        <v>0</v>
      </c>
      <c r="E141" s="402">
        <v>0</v>
      </c>
      <c r="F141" s="402">
        <v>0</v>
      </c>
      <c r="G141" s="402">
        <v>0</v>
      </c>
      <c r="H141" s="376"/>
    </row>
    <row r="142" spans="1:8" s="401" customFormat="1" ht="15" x14ac:dyDescent="0.2">
      <c r="A142" s="615" t="s">
        <v>745</v>
      </c>
      <c r="B142" s="399">
        <v>46</v>
      </c>
      <c r="C142" s="376" t="s">
        <v>385</v>
      </c>
      <c r="D142" s="402">
        <v>0</v>
      </c>
      <c r="E142" s="402">
        <v>0</v>
      </c>
      <c r="F142" s="402">
        <v>0</v>
      </c>
      <c r="G142" s="402">
        <v>0</v>
      </c>
      <c r="H142" s="376"/>
    </row>
    <row r="143" spans="1:8" s="401" customFormat="1" ht="15" x14ac:dyDescent="0.2">
      <c r="A143" s="615" t="s">
        <v>746</v>
      </c>
      <c r="B143" s="399">
        <v>47</v>
      </c>
      <c r="C143" s="376" t="s">
        <v>384</v>
      </c>
      <c r="D143" s="402">
        <v>0</v>
      </c>
      <c r="E143" s="402">
        <v>0</v>
      </c>
      <c r="F143" s="402">
        <v>0</v>
      </c>
      <c r="G143" s="402">
        <v>0</v>
      </c>
      <c r="H143" s="376"/>
    </row>
    <row r="144" spans="1:8" s="401" customFormat="1" ht="15" x14ac:dyDescent="0.2">
      <c r="A144" s="615" t="s">
        <v>747</v>
      </c>
      <c r="B144" s="399">
        <v>48</v>
      </c>
      <c r="C144" s="376" t="s">
        <v>383</v>
      </c>
      <c r="D144" s="402">
        <v>0</v>
      </c>
      <c r="E144" s="402">
        <v>0</v>
      </c>
      <c r="F144" s="402">
        <v>0</v>
      </c>
      <c r="G144" s="402">
        <v>0</v>
      </c>
      <c r="H144" s="376"/>
    </row>
    <row r="145" spans="1:8" s="401" customFormat="1" ht="15.75" x14ac:dyDescent="0.25">
      <c r="A145" s="615"/>
      <c r="B145" s="399"/>
      <c r="C145" s="376"/>
      <c r="D145" s="397"/>
      <c r="E145" s="397"/>
      <c r="F145" s="397"/>
      <c r="G145" s="397"/>
      <c r="H145" s="376"/>
    </row>
    <row r="146" spans="1:8" s="394" customFormat="1" ht="15.75" x14ac:dyDescent="0.25">
      <c r="A146" s="614" t="s">
        <v>748</v>
      </c>
      <c r="B146" s="395">
        <v>49</v>
      </c>
      <c r="C146" s="396" t="s">
        <v>382</v>
      </c>
      <c r="D146" s="397">
        <f>SUM(D147:D148)</f>
        <v>0</v>
      </c>
      <c r="E146" s="397">
        <f>SUM(E147:E148)</f>
        <v>0</v>
      </c>
      <c r="F146" s="397">
        <v>0</v>
      </c>
      <c r="G146" s="397">
        <f>SUM(G147:G148)</f>
        <v>0</v>
      </c>
      <c r="H146" s="396"/>
    </row>
    <row r="147" spans="1:8" s="401" customFormat="1" ht="15" x14ac:dyDescent="0.2">
      <c r="A147" s="615" t="s">
        <v>749</v>
      </c>
      <c r="B147" s="399">
        <v>50</v>
      </c>
      <c r="C147" s="376" t="s">
        <v>381</v>
      </c>
      <c r="D147" s="402">
        <v>0</v>
      </c>
      <c r="E147" s="402">
        <v>0</v>
      </c>
      <c r="F147" s="402">
        <v>0</v>
      </c>
      <c r="G147" s="402">
        <v>0</v>
      </c>
      <c r="H147" s="376"/>
    </row>
    <row r="148" spans="1:8" s="401" customFormat="1" ht="15" x14ac:dyDescent="0.2">
      <c r="A148" s="615" t="s">
        <v>750</v>
      </c>
      <c r="B148" s="399">
        <v>51</v>
      </c>
      <c r="C148" s="376" t="s">
        <v>380</v>
      </c>
      <c r="D148" s="402">
        <v>0</v>
      </c>
      <c r="E148" s="402">
        <v>0</v>
      </c>
      <c r="F148" s="402">
        <v>0</v>
      </c>
      <c r="G148" s="402">
        <v>0</v>
      </c>
      <c r="H148" s="376"/>
    </row>
    <row r="149" spans="1:8" s="401" customFormat="1" ht="15.75" x14ac:dyDescent="0.25">
      <c r="A149" s="615"/>
      <c r="B149" s="399"/>
      <c r="C149" s="376"/>
      <c r="D149" s="397"/>
      <c r="E149" s="397"/>
      <c r="F149" s="397">
        <v>0</v>
      </c>
      <c r="G149" s="397"/>
      <c r="H149" s="376"/>
    </row>
    <row r="150" spans="1:8" s="394" customFormat="1" ht="15.75" x14ac:dyDescent="0.25">
      <c r="A150" s="614"/>
      <c r="B150" s="395">
        <v>52</v>
      </c>
      <c r="C150" s="396" t="s">
        <v>379</v>
      </c>
      <c r="D150" s="397">
        <f>+D140-D146</f>
        <v>0</v>
      </c>
      <c r="E150" s="397">
        <f>+E140-E146</f>
        <v>0</v>
      </c>
      <c r="F150" s="397">
        <v>0</v>
      </c>
      <c r="G150" s="397">
        <f>+G140-G146</f>
        <v>0</v>
      </c>
      <c r="H150" s="396"/>
    </row>
    <row r="151" spans="1:8" s="401" customFormat="1" ht="15.75" x14ac:dyDescent="0.25">
      <c r="A151" s="615"/>
      <c r="B151" s="399"/>
      <c r="C151" s="376"/>
      <c r="D151" s="397"/>
      <c r="E151" s="397"/>
      <c r="F151" s="397">
        <v>0</v>
      </c>
      <c r="G151" s="397"/>
      <c r="H151" s="376"/>
    </row>
    <row r="152" spans="1:8" s="394" customFormat="1" ht="16.5" thickBot="1" x14ac:dyDescent="0.3">
      <c r="A152" s="616"/>
      <c r="B152" s="405">
        <v>53</v>
      </c>
      <c r="C152" s="406" t="s">
        <v>378</v>
      </c>
      <c r="D152" s="407">
        <f>D137+D150</f>
        <v>-191203487000</v>
      </c>
      <c r="E152" s="407">
        <f>E137+E150</f>
        <v>-182086298397</v>
      </c>
      <c r="F152" s="407">
        <f>E152/D152*100</f>
        <v>95.231682880867126</v>
      </c>
      <c r="G152" s="407">
        <f>G137+G150</f>
        <v>-256671561084</v>
      </c>
      <c r="H152" s="406"/>
    </row>
    <row r="153" spans="1:8" x14ac:dyDescent="0.2">
      <c r="G153" s="608"/>
    </row>
    <row r="154" spans="1:8" x14ac:dyDescent="0.2">
      <c r="A154" s="609"/>
      <c r="B154" s="609"/>
      <c r="C154" s="389"/>
      <c r="D154" s="389"/>
      <c r="E154" s="389">
        <f>'[5]LRA TA 2017 PER SKPD'!$BY$55</f>
        <v>-182086298397</v>
      </c>
      <c r="F154" s="389"/>
      <c r="G154" s="610"/>
    </row>
    <row r="155" spans="1:8" s="611" customFormat="1" ht="15" x14ac:dyDescent="0.25"/>
    <row r="156" spans="1:8" x14ac:dyDescent="0.2">
      <c r="E156" s="612">
        <f>+E152-E154</f>
        <v>0</v>
      </c>
    </row>
  </sheetData>
  <sheetProtection algorithmName="SHA-512" hashValue="T7s8AeLB0VPVs7V8LwgrJEUAHOD6RurGeubBsKS6J+NAjmRF+Hkz/pjhTs13AhOmBY0z9fzhuNAKLGorL22kFw==" saltValue="4sgYe/pl1LG7b7Xg0Lmogw==" spinCount="100000" sheet="1" objects="1" scenarios="1"/>
  <mergeCells count="10">
    <mergeCell ref="A6:A7"/>
    <mergeCell ref="B6:B7"/>
    <mergeCell ref="C6:C7"/>
    <mergeCell ref="D6:F6"/>
    <mergeCell ref="C1:G1"/>
    <mergeCell ref="C2:G2"/>
    <mergeCell ref="C3:G3"/>
    <mergeCell ref="C4:G4"/>
    <mergeCell ref="H6:H7"/>
    <mergeCell ref="G6:G7"/>
  </mergeCells>
  <pageMargins left="0.59055118110236227" right="0.59055118110236227" top="0.78740157480314965" bottom="0.39370078740157483" header="0.31496062992125984" footer="0.31496062992125984"/>
  <pageSetup paperSize="258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BR70"/>
  <sheetViews>
    <sheetView view="pageBreakPreview" topLeftCell="AC1" zoomScale="40" zoomScaleNormal="60" zoomScaleSheetLayoutView="40" workbookViewId="0">
      <selection activeCell="AR42" sqref="AR42:AS42"/>
    </sheetView>
  </sheetViews>
  <sheetFormatPr defaultColWidth="9.140625" defaultRowHeight="20.25" x14ac:dyDescent="0.25"/>
  <cols>
    <col min="1" max="1" width="6.28515625" style="110" customWidth="1"/>
    <col min="2" max="2" width="59.28515625" style="110" bestFit="1" customWidth="1"/>
    <col min="3" max="3" width="17.140625" style="111" customWidth="1"/>
    <col min="4" max="4" width="36" style="110" customWidth="1"/>
    <col min="5" max="5" width="15.28515625" style="110" customWidth="1"/>
    <col min="6" max="6" width="32.7109375" style="112" bestFit="1" customWidth="1"/>
    <col min="7" max="7" width="11.140625" style="110" customWidth="1"/>
    <col min="8" max="8" width="29.28515625" style="110" customWidth="1"/>
    <col min="9" max="9" width="10" style="110" customWidth="1"/>
    <col min="10" max="10" width="23.28515625" style="110" bestFit="1" customWidth="1"/>
    <col min="11" max="11" width="9.5703125" style="110" customWidth="1"/>
    <col min="12" max="12" width="30.85546875" style="110" bestFit="1" customWidth="1"/>
    <col min="13" max="13" width="11" style="110" customWidth="1"/>
    <col min="14" max="14" width="26" style="110" bestFit="1" customWidth="1"/>
    <col min="15" max="15" width="12.140625" style="110" customWidth="1"/>
    <col min="16" max="16" width="22.42578125" style="110" customWidth="1"/>
    <col min="17" max="17" width="10.85546875" style="110" customWidth="1"/>
    <col min="18" max="18" width="30.140625" style="110" bestFit="1" customWidth="1"/>
    <col min="19" max="19" width="13.85546875" style="112" customWidth="1"/>
    <col min="20" max="20" width="30" style="112" bestFit="1" customWidth="1"/>
    <col min="21" max="22" width="26.42578125" style="112" hidden="1" customWidth="1"/>
    <col min="23" max="23" width="10.7109375" style="110" customWidth="1"/>
    <col min="24" max="24" width="26.85546875" style="110" customWidth="1"/>
    <col min="25" max="25" width="12.140625" style="110" bestFit="1" customWidth="1"/>
    <col min="26" max="26" width="29.42578125" style="110" customWidth="1"/>
    <col min="27" max="27" width="14.140625" style="110" customWidth="1"/>
    <col min="28" max="28" width="31.140625" style="110" customWidth="1"/>
    <col min="29" max="29" width="17.85546875" style="110" customWidth="1"/>
    <col min="30" max="30" width="31.140625" style="110" customWidth="1"/>
    <col min="31" max="31" width="13.85546875" style="110" customWidth="1"/>
    <col min="32" max="32" width="28" style="110" bestFit="1" customWidth="1"/>
    <col min="33" max="33" width="14.5703125" style="112" customWidth="1"/>
    <col min="34" max="34" width="31.28515625" style="110" customWidth="1"/>
    <col min="35" max="35" width="15.5703125" style="110" customWidth="1"/>
    <col min="36" max="36" width="35.42578125" style="110" customWidth="1"/>
    <col min="37" max="37" width="3.7109375" style="110" customWidth="1"/>
    <col min="38" max="38" width="16.7109375" style="110" customWidth="1"/>
    <col min="39" max="39" width="33.7109375" style="426" customWidth="1"/>
    <col min="40" max="40" width="3.7109375" style="118" customWidth="1"/>
    <col min="41" max="41" width="18.140625" style="118" bestFit="1" customWidth="1"/>
    <col min="42" max="42" width="34.42578125" style="427" bestFit="1" customWidth="1"/>
    <col min="43" max="43" width="3.7109375" style="118" customWidth="1"/>
    <col min="44" max="45" width="33.7109375" style="118" customWidth="1"/>
    <col min="46" max="46" width="3.7109375" style="110" customWidth="1"/>
    <col min="47" max="47" width="33.28515625" style="110" bestFit="1" customWidth="1"/>
    <col min="48" max="16384" width="9.140625" style="110"/>
  </cols>
  <sheetData>
    <row r="1" spans="1:47" s="106" customFormat="1" ht="35.25" customHeight="1" x14ac:dyDescent="0.25">
      <c r="A1" s="706" t="s">
        <v>328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  <c r="AA1" s="706"/>
      <c r="AB1" s="706"/>
      <c r="AC1" s="706"/>
      <c r="AD1" s="706"/>
      <c r="AE1" s="706"/>
      <c r="AF1" s="706"/>
      <c r="AG1" s="706"/>
      <c r="AH1" s="706"/>
      <c r="AI1" s="706"/>
      <c r="AJ1" s="706"/>
      <c r="AM1" s="426"/>
      <c r="AN1" s="118"/>
      <c r="AO1" s="118"/>
      <c r="AP1" s="427"/>
      <c r="AQ1" s="118"/>
      <c r="AR1" s="118"/>
      <c r="AS1" s="118"/>
    </row>
    <row r="2" spans="1:47" s="106" customFormat="1" ht="35.25" customHeight="1" x14ac:dyDescent="0.25">
      <c r="A2" s="706" t="s">
        <v>1150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706"/>
      <c r="AM2" s="426"/>
      <c r="AN2" s="118"/>
      <c r="AO2" s="118"/>
      <c r="AP2" s="427"/>
      <c r="AQ2" s="118"/>
      <c r="AR2" s="118"/>
      <c r="AS2" s="118"/>
    </row>
    <row r="3" spans="1:47" s="109" customFormat="1" ht="28.5" customHeight="1" x14ac:dyDescent="0.25">
      <c r="A3" s="107" t="s">
        <v>1147</v>
      </c>
      <c r="B3" s="107"/>
      <c r="C3" s="108"/>
      <c r="AM3" s="428"/>
      <c r="AN3" s="429"/>
      <c r="AO3" s="429"/>
      <c r="AP3" s="430"/>
      <c r="AQ3" s="429"/>
      <c r="AR3" s="429"/>
      <c r="AS3" s="429"/>
    </row>
    <row r="4" spans="1:47" ht="12" customHeight="1" x14ac:dyDescent="0.25"/>
    <row r="5" spans="1:47" s="113" customFormat="1" ht="21.75" customHeight="1" x14ac:dyDescent="0.25">
      <c r="A5" s="707" t="s">
        <v>22</v>
      </c>
      <c r="B5" s="707" t="s">
        <v>329</v>
      </c>
      <c r="C5" s="710" t="s">
        <v>330</v>
      </c>
      <c r="D5" s="713" t="s">
        <v>845</v>
      </c>
      <c r="E5" s="716" t="s">
        <v>330</v>
      </c>
      <c r="F5" s="719" t="s">
        <v>331</v>
      </c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1"/>
      <c r="U5" s="431"/>
      <c r="V5" s="431"/>
      <c r="W5" s="720" t="s">
        <v>366</v>
      </c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1"/>
      <c r="AI5" s="619"/>
      <c r="AJ5" s="707" t="s">
        <v>846</v>
      </c>
      <c r="AM5" s="432"/>
      <c r="AN5" s="433"/>
      <c r="AO5" s="433"/>
      <c r="AP5" s="434"/>
      <c r="AQ5" s="433"/>
      <c r="AR5" s="433"/>
      <c r="AS5" s="433"/>
    </row>
    <row r="6" spans="1:47" s="113" customFormat="1" ht="21.75" customHeight="1" x14ac:dyDescent="0.25">
      <c r="A6" s="708"/>
      <c r="B6" s="708"/>
      <c r="C6" s="711"/>
      <c r="D6" s="714"/>
      <c r="E6" s="717"/>
      <c r="F6" s="435"/>
      <c r="G6" s="723" t="s">
        <v>330</v>
      </c>
      <c r="H6" s="723" t="s">
        <v>332</v>
      </c>
      <c r="I6" s="723" t="s">
        <v>330</v>
      </c>
      <c r="J6" s="724" t="s">
        <v>333</v>
      </c>
      <c r="K6" s="723" t="s">
        <v>330</v>
      </c>
      <c r="L6" s="723" t="s">
        <v>334</v>
      </c>
      <c r="M6" s="719" t="s">
        <v>335</v>
      </c>
      <c r="N6" s="720"/>
      <c r="O6" s="720"/>
      <c r="P6" s="721"/>
      <c r="Q6" s="723" t="s">
        <v>330</v>
      </c>
      <c r="R6" s="723" t="s">
        <v>336</v>
      </c>
      <c r="S6" s="723" t="s">
        <v>330</v>
      </c>
      <c r="T6" s="723" t="s">
        <v>337</v>
      </c>
      <c r="U6" s="436"/>
      <c r="V6" s="436"/>
      <c r="W6" s="707" t="s">
        <v>330</v>
      </c>
      <c r="X6" s="707" t="s">
        <v>339</v>
      </c>
      <c r="Y6" s="707" t="s">
        <v>330</v>
      </c>
      <c r="Z6" s="707" t="s">
        <v>340</v>
      </c>
      <c r="AA6" s="719" t="s">
        <v>335</v>
      </c>
      <c r="AB6" s="720"/>
      <c r="AC6" s="720"/>
      <c r="AD6" s="721"/>
      <c r="AE6" s="707" t="s">
        <v>330</v>
      </c>
      <c r="AF6" s="707" t="s">
        <v>187</v>
      </c>
      <c r="AG6" s="707" t="s">
        <v>330</v>
      </c>
      <c r="AH6" s="707" t="s">
        <v>341</v>
      </c>
      <c r="AI6" s="620"/>
      <c r="AJ6" s="708"/>
      <c r="AM6" s="432"/>
      <c r="AN6" s="433"/>
      <c r="AO6" s="433"/>
      <c r="AP6" s="434"/>
      <c r="AQ6" s="433"/>
      <c r="AR6" s="725" t="s">
        <v>769</v>
      </c>
      <c r="AS6" s="725"/>
    </row>
    <row r="7" spans="1:47" s="113" customFormat="1" ht="73.5" customHeight="1" thickBot="1" x14ac:dyDescent="0.3">
      <c r="A7" s="709"/>
      <c r="B7" s="709"/>
      <c r="C7" s="712"/>
      <c r="D7" s="715"/>
      <c r="E7" s="718"/>
      <c r="F7" s="435" t="s">
        <v>342</v>
      </c>
      <c r="G7" s="723"/>
      <c r="H7" s="723"/>
      <c r="I7" s="723"/>
      <c r="J7" s="724"/>
      <c r="K7" s="723"/>
      <c r="L7" s="723"/>
      <c r="M7" s="437" t="s">
        <v>330</v>
      </c>
      <c r="N7" s="437" t="s">
        <v>214</v>
      </c>
      <c r="O7" s="437" t="s">
        <v>330</v>
      </c>
      <c r="P7" s="437" t="s">
        <v>243</v>
      </c>
      <c r="Q7" s="723"/>
      <c r="R7" s="723"/>
      <c r="S7" s="723"/>
      <c r="T7" s="723"/>
      <c r="U7" s="438"/>
      <c r="V7" s="438"/>
      <c r="W7" s="722"/>
      <c r="X7" s="722"/>
      <c r="Y7" s="722"/>
      <c r="Z7" s="722"/>
      <c r="AA7" s="438" t="s">
        <v>330</v>
      </c>
      <c r="AB7" s="437" t="s">
        <v>214</v>
      </c>
      <c r="AC7" s="437" t="s">
        <v>330</v>
      </c>
      <c r="AD7" s="437" t="s">
        <v>243</v>
      </c>
      <c r="AE7" s="722"/>
      <c r="AF7" s="722"/>
      <c r="AG7" s="722"/>
      <c r="AH7" s="722"/>
      <c r="AI7" s="621" t="s">
        <v>330</v>
      </c>
      <c r="AJ7" s="722"/>
      <c r="AL7" s="726" t="s">
        <v>770</v>
      </c>
      <c r="AM7" s="726"/>
      <c r="AN7" s="433"/>
      <c r="AO7" s="727" t="s">
        <v>759</v>
      </c>
      <c r="AP7" s="727"/>
      <c r="AQ7" s="433"/>
      <c r="AR7" s="439" t="s">
        <v>368</v>
      </c>
      <c r="AS7" s="440" t="s">
        <v>771</v>
      </c>
    </row>
    <row r="8" spans="1:47" s="117" customFormat="1" ht="21.75" customHeight="1" thickTop="1" x14ac:dyDescent="0.25">
      <c r="A8" s="441">
        <v>1</v>
      </c>
      <c r="B8" s="442">
        <v>2</v>
      </c>
      <c r="C8" s="730">
        <v>3</v>
      </c>
      <c r="D8" s="731"/>
      <c r="E8" s="732">
        <v>4</v>
      </c>
      <c r="F8" s="733"/>
      <c r="G8" s="734">
        <v>5</v>
      </c>
      <c r="H8" s="735"/>
      <c r="I8" s="728">
        <v>6</v>
      </c>
      <c r="J8" s="729"/>
      <c r="K8" s="728">
        <v>7</v>
      </c>
      <c r="L8" s="729"/>
      <c r="M8" s="728">
        <v>8</v>
      </c>
      <c r="N8" s="729"/>
      <c r="O8" s="728">
        <v>9</v>
      </c>
      <c r="P8" s="729"/>
      <c r="Q8" s="728">
        <v>10</v>
      </c>
      <c r="R8" s="729"/>
      <c r="S8" s="728">
        <v>11</v>
      </c>
      <c r="T8" s="729"/>
      <c r="U8" s="443"/>
      <c r="V8" s="443"/>
      <c r="W8" s="728">
        <v>12</v>
      </c>
      <c r="X8" s="729"/>
      <c r="Y8" s="728">
        <v>13</v>
      </c>
      <c r="Z8" s="729"/>
      <c r="AA8" s="728">
        <v>14</v>
      </c>
      <c r="AB8" s="729"/>
      <c r="AC8" s="728">
        <v>15</v>
      </c>
      <c r="AD8" s="729"/>
      <c r="AE8" s="728">
        <v>16</v>
      </c>
      <c r="AF8" s="729"/>
      <c r="AG8" s="728">
        <v>17</v>
      </c>
      <c r="AH8" s="729"/>
      <c r="AI8" s="728">
        <v>18</v>
      </c>
      <c r="AJ8" s="729"/>
      <c r="AL8" s="444" t="s">
        <v>330</v>
      </c>
      <c r="AM8" s="445" t="s">
        <v>772</v>
      </c>
      <c r="AN8" s="444"/>
      <c r="AO8" s="444" t="s">
        <v>330</v>
      </c>
      <c r="AP8" s="446" t="s">
        <v>772</v>
      </c>
      <c r="AQ8" s="447"/>
      <c r="AR8" s="447"/>
      <c r="AS8" s="447"/>
    </row>
    <row r="9" spans="1:47" s="319" customFormat="1" ht="50.1" customHeight="1" x14ac:dyDescent="0.25">
      <c r="A9" s="316"/>
      <c r="B9" s="316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M9" s="428"/>
      <c r="AP9" s="430"/>
      <c r="AU9" s="448"/>
    </row>
    <row r="10" spans="1:47" s="450" customFormat="1" ht="50.1" customHeight="1" x14ac:dyDescent="0.25">
      <c r="A10" s="518">
        <v>1</v>
      </c>
      <c r="B10" s="519" t="s">
        <v>343</v>
      </c>
      <c r="C10" s="122">
        <f t="shared" ref="C10:D10" si="0">SUM(C11)</f>
        <v>20</v>
      </c>
      <c r="D10" s="122">
        <f t="shared" si="0"/>
        <v>170297140000</v>
      </c>
      <c r="E10" s="122">
        <f>SUM(E11)</f>
        <v>0</v>
      </c>
      <c r="F10" s="122">
        <f t="shared" ref="F10:R10" si="1">SUM(F11)</f>
        <v>0</v>
      </c>
      <c r="G10" s="122">
        <f t="shared" si="1"/>
        <v>0</v>
      </c>
      <c r="H10" s="122">
        <f t="shared" si="1"/>
        <v>0</v>
      </c>
      <c r="I10" s="122">
        <f t="shared" si="1"/>
        <v>0</v>
      </c>
      <c r="J10" s="122">
        <f t="shared" si="1"/>
        <v>0</v>
      </c>
      <c r="K10" s="122">
        <f t="shared" si="1"/>
        <v>0</v>
      </c>
      <c r="L10" s="122">
        <f t="shared" si="1"/>
        <v>0</v>
      </c>
      <c r="M10" s="122">
        <f t="shared" si="1"/>
        <v>0</v>
      </c>
      <c r="N10" s="122">
        <f t="shared" si="1"/>
        <v>0</v>
      </c>
      <c r="O10" s="122">
        <f t="shared" si="1"/>
        <v>0</v>
      </c>
      <c r="P10" s="122">
        <f t="shared" si="1"/>
        <v>0</v>
      </c>
      <c r="Q10" s="122">
        <f t="shared" si="1"/>
        <v>0</v>
      </c>
      <c r="R10" s="122">
        <f t="shared" si="1"/>
        <v>0</v>
      </c>
      <c r="S10" s="122">
        <f>S11</f>
        <v>0</v>
      </c>
      <c r="T10" s="122">
        <f>T11</f>
        <v>0</v>
      </c>
      <c r="U10" s="122"/>
      <c r="V10" s="122"/>
      <c r="W10" s="122">
        <f t="shared" ref="W10:AF10" si="2">SUM(W11)</f>
        <v>0</v>
      </c>
      <c r="X10" s="122">
        <f t="shared" si="2"/>
        <v>0</v>
      </c>
      <c r="Y10" s="122">
        <f t="shared" si="2"/>
        <v>2</v>
      </c>
      <c r="Z10" s="122">
        <f t="shared" si="2"/>
        <v>2692500000</v>
      </c>
      <c r="AA10" s="122">
        <f t="shared" si="2"/>
        <v>0</v>
      </c>
      <c r="AB10" s="122">
        <f t="shared" si="2"/>
        <v>0</v>
      </c>
      <c r="AC10" s="122">
        <f t="shared" si="2"/>
        <v>0</v>
      </c>
      <c r="AD10" s="122">
        <f t="shared" si="2"/>
        <v>0</v>
      </c>
      <c r="AE10" s="122">
        <f t="shared" si="2"/>
        <v>0</v>
      </c>
      <c r="AF10" s="122">
        <f t="shared" si="2"/>
        <v>0</v>
      </c>
      <c r="AG10" s="122">
        <f>AG11</f>
        <v>2</v>
      </c>
      <c r="AH10" s="122">
        <f>AH11</f>
        <v>2692500000</v>
      </c>
      <c r="AI10" s="122">
        <f>AI11</f>
        <v>18</v>
      </c>
      <c r="AJ10" s="122">
        <f>AJ11</f>
        <v>167604640000</v>
      </c>
      <c r="AK10" s="520"/>
      <c r="AL10" s="521"/>
      <c r="AM10" s="521"/>
      <c r="AN10" s="522"/>
      <c r="AO10" s="523">
        <f>AI10-AL10</f>
        <v>18</v>
      </c>
      <c r="AP10" s="523">
        <f>AJ10-AM10</f>
        <v>167604640000</v>
      </c>
      <c r="AQ10" s="522"/>
      <c r="AR10" s="522"/>
      <c r="AS10" s="520"/>
    </row>
    <row r="11" spans="1:47" s="319" customFormat="1" ht="50.1" customHeight="1" x14ac:dyDescent="0.25">
      <c r="A11" s="518"/>
      <c r="B11" s="518" t="s">
        <v>215</v>
      </c>
      <c r="C11" s="524">
        <v>20</v>
      </c>
      <c r="D11" s="524">
        <v>170297140000</v>
      </c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>
        <f>SUM(Q11+M11+K11+I11+G11+E11+O11)</f>
        <v>0</v>
      </c>
      <c r="T11" s="524">
        <f>SUM(R11+N11+L11+J11+H11+F11+P11)</f>
        <v>0</v>
      </c>
      <c r="U11" s="524"/>
      <c r="V11" s="524"/>
      <c r="W11" s="524"/>
      <c r="X11" s="524"/>
      <c r="Y11" s="524">
        <v>2</v>
      </c>
      <c r="Z11" s="524">
        <v>2692500000</v>
      </c>
      <c r="AA11" s="524"/>
      <c r="AB11" s="524"/>
      <c r="AC11" s="524"/>
      <c r="AD11" s="524"/>
      <c r="AE11" s="524"/>
      <c r="AF11" s="524"/>
      <c r="AG11" s="524">
        <f>SUM(AE11+Y11+AA11+W11+AC11)</f>
        <v>2</v>
      </c>
      <c r="AH11" s="524">
        <f>SUM(AF11+Z11+AB11+X11+AD11)</f>
        <v>2692500000</v>
      </c>
      <c r="AI11" s="524">
        <f>C11+S11-AG11</f>
        <v>18</v>
      </c>
      <c r="AJ11" s="524">
        <f>D11+T11-AH11</f>
        <v>167604640000</v>
      </c>
      <c r="AK11" s="520"/>
      <c r="AL11" s="525"/>
      <c r="AM11" s="525"/>
      <c r="AN11" s="522"/>
      <c r="AO11" s="526">
        <f>AI11-AL11</f>
        <v>18</v>
      </c>
      <c r="AP11" s="527">
        <f>AJ11-AM11</f>
        <v>167604640000</v>
      </c>
      <c r="AQ11" s="522"/>
      <c r="AR11" s="522"/>
      <c r="AS11" s="520"/>
    </row>
    <row r="12" spans="1:47" s="319" customFormat="1" ht="50.1" customHeight="1" x14ac:dyDescent="0.25">
      <c r="A12" s="518"/>
      <c r="B12" s="518"/>
      <c r="C12" s="524"/>
      <c r="D12" s="122"/>
      <c r="E12" s="122"/>
      <c r="F12" s="122"/>
      <c r="G12" s="122"/>
      <c r="H12" s="122"/>
      <c r="I12" s="122"/>
      <c r="J12" s="122"/>
      <c r="K12" s="122"/>
      <c r="L12" s="122"/>
      <c r="M12" s="524"/>
      <c r="N12" s="524"/>
      <c r="O12" s="524"/>
      <c r="P12" s="524"/>
      <c r="Q12" s="122"/>
      <c r="R12" s="122"/>
      <c r="S12" s="524"/>
      <c r="T12" s="524"/>
      <c r="U12" s="524"/>
      <c r="V12" s="524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524"/>
      <c r="AH12" s="524"/>
      <c r="AI12" s="524"/>
      <c r="AJ12" s="524"/>
      <c r="AK12" s="520"/>
      <c r="AL12" s="525"/>
      <c r="AM12" s="521"/>
      <c r="AN12" s="522"/>
      <c r="AO12" s="522"/>
      <c r="AP12" s="523"/>
      <c r="AQ12" s="522"/>
      <c r="AR12" s="522"/>
      <c r="AS12" s="520"/>
    </row>
    <row r="13" spans="1:47" s="319" customFormat="1" ht="50.1" customHeight="1" x14ac:dyDescent="0.25">
      <c r="A13" s="518">
        <v>2</v>
      </c>
      <c r="B13" s="519" t="s">
        <v>344</v>
      </c>
      <c r="C13" s="122">
        <f t="shared" ref="C13:R13" si="3">SUM(C14:C22)</f>
        <v>24686</v>
      </c>
      <c r="D13" s="122">
        <f t="shared" si="3"/>
        <v>144137782218.00162</v>
      </c>
      <c r="E13" s="122">
        <f t="shared" si="3"/>
        <v>231</v>
      </c>
      <c r="F13" s="122">
        <f t="shared" si="3"/>
        <v>2939316000</v>
      </c>
      <c r="G13" s="122">
        <f t="shared" si="3"/>
        <v>0</v>
      </c>
      <c r="H13" s="122">
        <f t="shared" si="3"/>
        <v>0</v>
      </c>
      <c r="I13" s="122">
        <f t="shared" si="3"/>
        <v>0</v>
      </c>
      <c r="J13" s="122">
        <f t="shared" si="3"/>
        <v>0</v>
      </c>
      <c r="K13" s="122">
        <f t="shared" si="3"/>
        <v>42</v>
      </c>
      <c r="L13" s="122">
        <f t="shared" si="3"/>
        <v>8888329215</v>
      </c>
      <c r="M13" s="122">
        <f t="shared" si="3"/>
        <v>0</v>
      </c>
      <c r="N13" s="122">
        <f t="shared" si="3"/>
        <v>0</v>
      </c>
      <c r="O13" s="122">
        <f t="shared" si="3"/>
        <v>0</v>
      </c>
      <c r="P13" s="122">
        <f t="shared" si="3"/>
        <v>0</v>
      </c>
      <c r="Q13" s="122">
        <f t="shared" si="3"/>
        <v>0</v>
      </c>
      <c r="R13" s="122">
        <f t="shared" si="3"/>
        <v>0</v>
      </c>
      <c r="S13" s="122">
        <f>SUM(S14:S22)</f>
        <v>273</v>
      </c>
      <c r="T13" s="122">
        <f>SUM(T14:T22)</f>
        <v>11827645215</v>
      </c>
      <c r="U13" s="122"/>
      <c r="V13" s="122"/>
      <c r="W13" s="122">
        <f t="shared" ref="W13:AJ13" si="4">SUM(W14:W22)</f>
        <v>348</v>
      </c>
      <c r="X13" s="122">
        <f t="shared" si="4"/>
        <v>48412697</v>
      </c>
      <c r="Y13" s="122">
        <f t="shared" si="4"/>
        <v>2858</v>
      </c>
      <c r="Z13" s="122">
        <f t="shared" si="4"/>
        <v>23230139449</v>
      </c>
      <c r="AA13" s="122">
        <f t="shared" si="4"/>
        <v>0</v>
      </c>
      <c r="AB13" s="122">
        <f t="shared" si="4"/>
        <v>0</v>
      </c>
      <c r="AC13" s="122">
        <f t="shared" si="4"/>
        <v>0</v>
      </c>
      <c r="AD13" s="122">
        <f t="shared" si="4"/>
        <v>0</v>
      </c>
      <c r="AE13" s="122">
        <f t="shared" si="4"/>
        <v>4</v>
      </c>
      <c r="AF13" s="122">
        <f t="shared" si="4"/>
        <v>749300000</v>
      </c>
      <c r="AG13" s="122">
        <f t="shared" si="4"/>
        <v>3210</v>
      </c>
      <c r="AH13" s="122">
        <f t="shared" si="4"/>
        <v>24027852146</v>
      </c>
      <c r="AI13" s="122">
        <f t="shared" si="4"/>
        <v>21749</v>
      </c>
      <c r="AJ13" s="122">
        <f t="shared" si="4"/>
        <v>131937575287.00162</v>
      </c>
      <c r="AK13" s="520"/>
      <c r="AL13" s="521"/>
      <c r="AM13" s="521"/>
      <c r="AN13" s="522"/>
      <c r="AO13" s="522">
        <f t="shared" ref="AO13:AP22" si="5">AI13-AL13</f>
        <v>21749</v>
      </c>
      <c r="AP13" s="523">
        <f t="shared" si="5"/>
        <v>131937575287.00162</v>
      </c>
      <c r="AQ13" s="522"/>
      <c r="AR13" s="522"/>
      <c r="AS13" s="520"/>
    </row>
    <row r="14" spans="1:47" s="319" customFormat="1" ht="50.1" customHeight="1" x14ac:dyDescent="0.25">
      <c r="A14" s="518"/>
      <c r="B14" s="518" t="s">
        <v>345</v>
      </c>
      <c r="C14" s="524">
        <v>38</v>
      </c>
      <c r="D14" s="524">
        <v>6487455123</v>
      </c>
      <c r="E14" s="524">
        <v>2</v>
      </c>
      <c r="F14" s="524">
        <v>856002500</v>
      </c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>
        <f t="shared" ref="S14:T22" si="6">SUM(Q14+M14+K14+I14+G14+E14+O14)</f>
        <v>2</v>
      </c>
      <c r="T14" s="524">
        <f t="shared" si="6"/>
        <v>856002500</v>
      </c>
      <c r="U14" s="524"/>
      <c r="V14" s="524"/>
      <c r="W14" s="524"/>
      <c r="X14" s="524"/>
      <c r="Y14" s="524">
        <v>1</v>
      </c>
      <c r="Z14" s="524">
        <v>296448000</v>
      </c>
      <c r="AA14" s="524"/>
      <c r="AB14" s="524"/>
      <c r="AC14" s="524"/>
      <c r="AD14" s="524"/>
      <c r="AE14" s="524"/>
      <c r="AF14" s="524"/>
      <c r="AG14" s="524">
        <f t="shared" ref="AG14:AH22" si="7">SUM(AE14+Y14+AA14+W14+AC14)</f>
        <v>1</v>
      </c>
      <c r="AH14" s="524">
        <f t="shared" si="7"/>
        <v>296448000</v>
      </c>
      <c r="AI14" s="524">
        <f t="shared" ref="AI14:AJ22" si="8">C14+S14-AG14</f>
        <v>39</v>
      </c>
      <c r="AJ14" s="524">
        <f t="shared" si="8"/>
        <v>7047009623</v>
      </c>
      <c r="AK14" s="520"/>
      <c r="AL14" s="525"/>
      <c r="AM14" s="525"/>
      <c r="AN14" s="522"/>
      <c r="AO14" s="526">
        <f t="shared" si="5"/>
        <v>39</v>
      </c>
      <c r="AP14" s="527">
        <f t="shared" si="5"/>
        <v>7047009623</v>
      </c>
      <c r="AQ14" s="522"/>
      <c r="AR14" s="522"/>
      <c r="AS14" s="520"/>
    </row>
    <row r="15" spans="1:47" s="319" customFormat="1" ht="50.1" customHeight="1" x14ac:dyDescent="0.25">
      <c r="A15" s="518"/>
      <c r="B15" s="518" t="s">
        <v>346</v>
      </c>
      <c r="C15" s="524">
        <v>359</v>
      </c>
      <c r="D15" s="524">
        <v>53034918881</v>
      </c>
      <c r="E15" s="524">
        <v>7</v>
      </c>
      <c r="F15" s="524">
        <v>151750000</v>
      </c>
      <c r="G15" s="524"/>
      <c r="H15" s="524"/>
      <c r="I15" s="524"/>
      <c r="J15" s="524"/>
      <c r="K15" s="524">
        <v>29</v>
      </c>
      <c r="L15" s="524">
        <v>8798772661</v>
      </c>
      <c r="M15" s="524"/>
      <c r="N15" s="524"/>
      <c r="O15" s="524"/>
      <c r="P15" s="524"/>
      <c r="Q15" s="524"/>
      <c r="R15" s="524"/>
      <c r="S15" s="524">
        <f t="shared" si="6"/>
        <v>36</v>
      </c>
      <c r="T15" s="524">
        <f t="shared" si="6"/>
        <v>8950522661</v>
      </c>
      <c r="U15" s="524"/>
      <c r="V15" s="524"/>
      <c r="W15" s="524"/>
      <c r="X15" s="524"/>
      <c r="Y15" s="524">
        <v>64</v>
      </c>
      <c r="Z15" s="524">
        <v>11450825456</v>
      </c>
      <c r="AA15" s="524"/>
      <c r="AB15" s="524"/>
      <c r="AC15" s="524"/>
      <c r="AD15" s="524"/>
      <c r="AE15" s="524">
        <v>4</v>
      </c>
      <c r="AF15" s="524">
        <v>749300000</v>
      </c>
      <c r="AG15" s="524">
        <f t="shared" si="7"/>
        <v>68</v>
      </c>
      <c r="AH15" s="524">
        <f t="shared" si="7"/>
        <v>12200125456</v>
      </c>
      <c r="AI15" s="524">
        <f t="shared" si="8"/>
        <v>327</v>
      </c>
      <c r="AJ15" s="524">
        <f t="shared" si="8"/>
        <v>49785316086</v>
      </c>
      <c r="AK15" s="520"/>
      <c r="AL15" s="525"/>
      <c r="AM15" s="525"/>
      <c r="AN15" s="522"/>
      <c r="AO15" s="526">
        <f t="shared" si="5"/>
        <v>327</v>
      </c>
      <c r="AP15" s="527">
        <f t="shared" si="5"/>
        <v>49785316086</v>
      </c>
      <c r="AQ15" s="522"/>
      <c r="AR15" s="522"/>
      <c r="AS15" s="520"/>
    </row>
    <row r="16" spans="1:47" s="319" customFormat="1" ht="50.1" customHeight="1" x14ac:dyDescent="0.25">
      <c r="A16" s="518"/>
      <c r="B16" s="528" t="s">
        <v>773</v>
      </c>
      <c r="C16" s="529">
        <v>2</v>
      </c>
      <c r="D16" s="524">
        <v>98898000</v>
      </c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>
        <f t="shared" si="6"/>
        <v>0</v>
      </c>
      <c r="T16" s="524">
        <f t="shared" si="6"/>
        <v>0</v>
      </c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>
        <f t="shared" si="7"/>
        <v>0</v>
      </c>
      <c r="AH16" s="524">
        <f t="shared" si="7"/>
        <v>0</v>
      </c>
      <c r="AI16" s="524">
        <f t="shared" si="8"/>
        <v>2</v>
      </c>
      <c r="AJ16" s="524">
        <f t="shared" si="8"/>
        <v>98898000</v>
      </c>
      <c r="AK16" s="520"/>
      <c r="AL16" s="525"/>
      <c r="AM16" s="525"/>
      <c r="AN16" s="522"/>
      <c r="AO16" s="526">
        <f t="shared" si="5"/>
        <v>2</v>
      </c>
      <c r="AP16" s="527">
        <f t="shared" si="5"/>
        <v>98898000</v>
      </c>
      <c r="AQ16" s="522"/>
      <c r="AR16" s="522"/>
      <c r="AS16" s="520"/>
    </row>
    <row r="17" spans="1:45" s="319" customFormat="1" ht="50.1" customHeight="1" x14ac:dyDescent="0.25">
      <c r="A17" s="518"/>
      <c r="B17" s="528" t="s">
        <v>774</v>
      </c>
      <c r="C17" s="529">
        <v>0</v>
      </c>
      <c r="D17" s="524">
        <v>0</v>
      </c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>
        <f t="shared" si="6"/>
        <v>0</v>
      </c>
      <c r="T17" s="524">
        <f t="shared" si="6"/>
        <v>0</v>
      </c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>
        <f t="shared" si="7"/>
        <v>0</v>
      </c>
      <c r="AH17" s="524">
        <f t="shared" si="7"/>
        <v>0</v>
      </c>
      <c r="AI17" s="524">
        <f t="shared" si="8"/>
        <v>0</v>
      </c>
      <c r="AJ17" s="524">
        <f t="shared" si="8"/>
        <v>0</v>
      </c>
      <c r="AK17" s="520"/>
      <c r="AL17" s="525"/>
      <c r="AM17" s="525"/>
      <c r="AN17" s="522"/>
      <c r="AO17" s="526">
        <f t="shared" si="5"/>
        <v>0</v>
      </c>
      <c r="AP17" s="527">
        <f t="shared" si="5"/>
        <v>0</v>
      </c>
      <c r="AQ17" s="522"/>
      <c r="AR17" s="522"/>
      <c r="AS17" s="520"/>
    </row>
    <row r="18" spans="1:45" s="319" customFormat="1" ht="50.1" customHeight="1" x14ac:dyDescent="0.25">
      <c r="A18" s="518"/>
      <c r="B18" s="528" t="s">
        <v>349</v>
      </c>
      <c r="C18" s="529">
        <v>21981</v>
      </c>
      <c r="D18" s="524">
        <v>62563967661.001625</v>
      </c>
      <c r="E18" s="524">
        <v>208</v>
      </c>
      <c r="F18" s="524">
        <v>1650713500</v>
      </c>
      <c r="G18" s="524"/>
      <c r="H18" s="524"/>
      <c r="I18" s="524"/>
      <c r="J18" s="524"/>
      <c r="K18" s="524">
        <v>13</v>
      </c>
      <c r="L18" s="524">
        <v>89556554</v>
      </c>
      <c r="M18" s="524"/>
      <c r="N18" s="524"/>
      <c r="O18" s="524"/>
      <c r="P18" s="524"/>
      <c r="Q18" s="524"/>
      <c r="R18" s="524"/>
      <c r="S18" s="524">
        <f t="shared" si="6"/>
        <v>221</v>
      </c>
      <c r="T18" s="524">
        <f t="shared" si="6"/>
        <v>1740270054</v>
      </c>
      <c r="U18" s="524"/>
      <c r="V18" s="524"/>
      <c r="W18" s="524">
        <v>326</v>
      </c>
      <c r="X18" s="524">
        <v>43562697</v>
      </c>
      <c r="Y18" s="524">
        <v>2608</v>
      </c>
      <c r="Z18" s="524">
        <v>10171701768</v>
      </c>
      <c r="AA18" s="524"/>
      <c r="AB18" s="524"/>
      <c r="AC18" s="524"/>
      <c r="AD18" s="524"/>
      <c r="AE18" s="524"/>
      <c r="AF18" s="524"/>
      <c r="AG18" s="524">
        <f t="shared" si="7"/>
        <v>2934</v>
      </c>
      <c r="AH18" s="524">
        <f t="shared" si="7"/>
        <v>10215264465</v>
      </c>
      <c r="AI18" s="524">
        <f t="shared" si="8"/>
        <v>19268</v>
      </c>
      <c r="AJ18" s="524">
        <f t="shared" si="8"/>
        <v>54088973250.001625</v>
      </c>
      <c r="AK18" s="520"/>
      <c r="AL18" s="525"/>
      <c r="AM18" s="525"/>
      <c r="AN18" s="522"/>
      <c r="AO18" s="526">
        <f t="shared" si="5"/>
        <v>19268</v>
      </c>
      <c r="AP18" s="527">
        <f t="shared" si="5"/>
        <v>54088973250.001625</v>
      </c>
      <c r="AQ18" s="522"/>
      <c r="AR18" s="522"/>
      <c r="AS18" s="520"/>
    </row>
    <row r="19" spans="1:45" s="319" customFormat="1" ht="50.1" customHeight="1" x14ac:dyDescent="0.25">
      <c r="A19" s="518"/>
      <c r="B19" s="528" t="s">
        <v>350</v>
      </c>
      <c r="C19" s="529">
        <v>2250</v>
      </c>
      <c r="D19" s="524">
        <v>20429896003</v>
      </c>
      <c r="E19" s="524">
        <v>14</v>
      </c>
      <c r="F19" s="524">
        <v>280850000</v>
      </c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>
        <f t="shared" si="6"/>
        <v>14</v>
      </c>
      <c r="T19" s="524">
        <f t="shared" si="6"/>
        <v>280850000</v>
      </c>
      <c r="U19" s="524"/>
      <c r="V19" s="524"/>
      <c r="W19" s="524">
        <v>22</v>
      </c>
      <c r="X19" s="524">
        <v>4850000</v>
      </c>
      <c r="Y19" s="524">
        <v>185</v>
      </c>
      <c r="Z19" s="524">
        <v>1311164225</v>
      </c>
      <c r="AA19" s="524"/>
      <c r="AB19" s="524"/>
      <c r="AC19" s="524"/>
      <c r="AD19" s="524"/>
      <c r="AE19" s="524"/>
      <c r="AF19" s="524"/>
      <c r="AG19" s="524">
        <f t="shared" si="7"/>
        <v>207</v>
      </c>
      <c r="AH19" s="524">
        <f t="shared" si="7"/>
        <v>1316014225</v>
      </c>
      <c r="AI19" s="524">
        <f t="shared" si="8"/>
        <v>2057</v>
      </c>
      <c r="AJ19" s="524">
        <f t="shared" si="8"/>
        <v>19394731778</v>
      </c>
      <c r="AK19" s="520"/>
      <c r="AL19" s="525"/>
      <c r="AM19" s="525"/>
      <c r="AN19" s="522"/>
      <c r="AO19" s="526">
        <f t="shared" si="5"/>
        <v>2057</v>
      </c>
      <c r="AP19" s="527">
        <f t="shared" si="5"/>
        <v>19394731778</v>
      </c>
      <c r="AQ19" s="522"/>
      <c r="AR19" s="522"/>
      <c r="AS19" s="520"/>
    </row>
    <row r="20" spans="1:45" s="319" customFormat="1" ht="50.1" customHeight="1" x14ac:dyDescent="0.25">
      <c r="A20" s="518"/>
      <c r="B20" s="518" t="s">
        <v>351</v>
      </c>
      <c r="C20" s="524">
        <v>46</v>
      </c>
      <c r="D20" s="524">
        <v>257615000</v>
      </c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>
        <f t="shared" si="6"/>
        <v>0</v>
      </c>
      <c r="T20" s="524">
        <f t="shared" si="6"/>
        <v>0</v>
      </c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>
        <f t="shared" si="7"/>
        <v>0</v>
      </c>
      <c r="AH20" s="524">
        <f t="shared" si="7"/>
        <v>0</v>
      </c>
      <c r="AI20" s="524">
        <f t="shared" si="8"/>
        <v>46</v>
      </c>
      <c r="AJ20" s="524">
        <f t="shared" si="8"/>
        <v>257615000</v>
      </c>
      <c r="AK20" s="520"/>
      <c r="AL20" s="525"/>
      <c r="AM20" s="525"/>
      <c r="AN20" s="522"/>
      <c r="AO20" s="526">
        <f t="shared" si="5"/>
        <v>46</v>
      </c>
      <c r="AP20" s="527">
        <f t="shared" si="5"/>
        <v>257615000</v>
      </c>
      <c r="AQ20" s="522"/>
      <c r="AR20" s="522"/>
      <c r="AS20" s="520"/>
    </row>
    <row r="21" spans="1:45" s="319" customFormat="1" ht="50.1" customHeight="1" x14ac:dyDescent="0.25">
      <c r="A21" s="518"/>
      <c r="B21" s="518" t="s">
        <v>352</v>
      </c>
      <c r="C21" s="524">
        <v>0</v>
      </c>
      <c r="D21" s="524">
        <v>0</v>
      </c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>
        <f t="shared" si="6"/>
        <v>0</v>
      </c>
      <c r="T21" s="524">
        <f t="shared" si="6"/>
        <v>0</v>
      </c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>
        <f t="shared" si="7"/>
        <v>0</v>
      </c>
      <c r="AH21" s="524">
        <f t="shared" si="7"/>
        <v>0</v>
      </c>
      <c r="AI21" s="524">
        <f t="shared" si="8"/>
        <v>0</v>
      </c>
      <c r="AJ21" s="524">
        <f t="shared" si="8"/>
        <v>0</v>
      </c>
      <c r="AK21" s="520"/>
      <c r="AL21" s="525"/>
      <c r="AM21" s="525"/>
      <c r="AN21" s="522"/>
      <c r="AO21" s="526">
        <f t="shared" si="5"/>
        <v>0</v>
      </c>
      <c r="AP21" s="527">
        <f t="shared" si="5"/>
        <v>0</v>
      </c>
      <c r="AQ21" s="522"/>
      <c r="AR21" s="522"/>
      <c r="AS21" s="520"/>
    </row>
    <row r="22" spans="1:45" s="319" customFormat="1" ht="50.1" customHeight="1" x14ac:dyDescent="0.25">
      <c r="A22" s="518"/>
      <c r="B22" s="518" t="s">
        <v>353</v>
      </c>
      <c r="C22" s="524">
        <v>10</v>
      </c>
      <c r="D22" s="524">
        <v>1265031550</v>
      </c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>
        <f t="shared" si="6"/>
        <v>0</v>
      </c>
      <c r="T22" s="524">
        <f t="shared" si="6"/>
        <v>0</v>
      </c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>
        <f t="shared" si="7"/>
        <v>0</v>
      </c>
      <c r="AH22" s="524">
        <f t="shared" si="7"/>
        <v>0</v>
      </c>
      <c r="AI22" s="524">
        <f t="shared" si="8"/>
        <v>10</v>
      </c>
      <c r="AJ22" s="524">
        <f t="shared" si="8"/>
        <v>1265031550</v>
      </c>
      <c r="AK22" s="520"/>
      <c r="AL22" s="525"/>
      <c r="AM22" s="525"/>
      <c r="AN22" s="522"/>
      <c r="AO22" s="526">
        <f t="shared" si="5"/>
        <v>10</v>
      </c>
      <c r="AP22" s="527">
        <f t="shared" si="5"/>
        <v>1265031550</v>
      </c>
      <c r="AQ22" s="522"/>
      <c r="AR22" s="522"/>
      <c r="AS22" s="520"/>
    </row>
    <row r="23" spans="1:45" s="319" customFormat="1" ht="50.1" customHeight="1" x14ac:dyDescent="0.25">
      <c r="A23" s="518"/>
      <c r="B23" s="518"/>
      <c r="C23" s="524"/>
      <c r="D23" s="524"/>
      <c r="E23" s="122"/>
      <c r="F23" s="122"/>
      <c r="G23" s="122"/>
      <c r="H23" s="122"/>
      <c r="I23" s="122"/>
      <c r="J23" s="122"/>
      <c r="K23" s="122"/>
      <c r="L23" s="122"/>
      <c r="M23" s="524"/>
      <c r="N23" s="524"/>
      <c r="O23" s="524"/>
      <c r="P23" s="524"/>
      <c r="Q23" s="122"/>
      <c r="R23" s="122"/>
      <c r="S23" s="524"/>
      <c r="T23" s="524"/>
      <c r="U23" s="524"/>
      <c r="V23" s="524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524"/>
      <c r="AH23" s="524"/>
      <c r="AI23" s="524"/>
      <c r="AJ23" s="524"/>
      <c r="AK23" s="520"/>
      <c r="AL23" s="525"/>
      <c r="AM23" s="521"/>
      <c r="AN23" s="522"/>
      <c r="AO23" s="522"/>
      <c r="AP23" s="523"/>
      <c r="AQ23" s="522"/>
      <c r="AR23" s="522"/>
      <c r="AS23" s="520"/>
    </row>
    <row r="24" spans="1:45" s="319" customFormat="1" ht="50.1" customHeight="1" x14ac:dyDescent="0.25">
      <c r="A24" s="518">
        <v>3</v>
      </c>
      <c r="B24" s="519" t="s">
        <v>354</v>
      </c>
      <c r="C24" s="122">
        <f t="shared" ref="C24:D24" si="9">SUM(C25:C26)</f>
        <v>47</v>
      </c>
      <c r="D24" s="122">
        <f t="shared" si="9"/>
        <v>102507090730</v>
      </c>
      <c r="E24" s="122">
        <f>SUM(E25:E26)</f>
        <v>0</v>
      </c>
      <c r="F24" s="122">
        <f t="shared" ref="F24:R24" si="10">SUM(F25:F26)</f>
        <v>0</v>
      </c>
      <c r="G24" s="122">
        <f t="shared" si="10"/>
        <v>0</v>
      </c>
      <c r="H24" s="122">
        <f t="shared" si="10"/>
        <v>0</v>
      </c>
      <c r="I24" s="122">
        <f t="shared" si="10"/>
        <v>0</v>
      </c>
      <c r="J24" s="122">
        <f t="shared" si="10"/>
        <v>0</v>
      </c>
      <c r="K24" s="122">
        <f>SUM(K25:K26)</f>
        <v>0</v>
      </c>
      <c r="L24" s="122">
        <f t="shared" si="10"/>
        <v>0</v>
      </c>
      <c r="M24" s="122">
        <f t="shared" si="10"/>
        <v>0</v>
      </c>
      <c r="N24" s="122">
        <f t="shared" si="10"/>
        <v>0</v>
      </c>
      <c r="O24" s="122">
        <f>SUM(O25:O26)</f>
        <v>0</v>
      </c>
      <c r="P24" s="122">
        <f>SUM(P25:P26)</f>
        <v>0</v>
      </c>
      <c r="Q24" s="122">
        <f t="shared" si="10"/>
        <v>0</v>
      </c>
      <c r="R24" s="122">
        <f t="shared" si="10"/>
        <v>0</v>
      </c>
      <c r="S24" s="122">
        <f>SUM(S25:S26)</f>
        <v>0</v>
      </c>
      <c r="T24" s="122">
        <f>SUM(T25:T26)</f>
        <v>0</v>
      </c>
      <c r="U24" s="122"/>
      <c r="V24" s="122"/>
      <c r="W24" s="122">
        <f t="shared" ref="W24:AF24" si="11">SUM(W25:W26)</f>
        <v>0</v>
      </c>
      <c r="X24" s="122">
        <f t="shared" si="11"/>
        <v>0</v>
      </c>
      <c r="Y24" s="122">
        <f t="shared" si="11"/>
        <v>3</v>
      </c>
      <c r="Z24" s="122">
        <f t="shared" si="11"/>
        <v>1623955560</v>
      </c>
      <c r="AA24" s="122">
        <f t="shared" si="11"/>
        <v>0</v>
      </c>
      <c r="AB24" s="122">
        <f t="shared" si="11"/>
        <v>0</v>
      </c>
      <c r="AC24" s="122">
        <f>SUM(AC25:AC26)</f>
        <v>0</v>
      </c>
      <c r="AD24" s="122">
        <f>SUM(AD25:AD26)</f>
        <v>0</v>
      </c>
      <c r="AE24" s="122">
        <f t="shared" si="11"/>
        <v>0</v>
      </c>
      <c r="AF24" s="122">
        <f t="shared" si="11"/>
        <v>0</v>
      </c>
      <c r="AG24" s="524">
        <f>SUM(AG25:AG26)</f>
        <v>3</v>
      </c>
      <c r="AH24" s="524">
        <f>SUM(AH25:AH26)</f>
        <v>1623955560</v>
      </c>
      <c r="AI24" s="122">
        <f>SUM(AI25:AI26)</f>
        <v>44</v>
      </c>
      <c r="AJ24" s="122">
        <f>SUM(AJ25:AJ26)</f>
        <v>100883135170</v>
      </c>
      <c r="AK24" s="520"/>
      <c r="AL24" s="521"/>
      <c r="AM24" s="521"/>
      <c r="AN24" s="522"/>
      <c r="AO24" s="522">
        <f t="shared" ref="AO24:AP26" si="12">AI24-AL24</f>
        <v>44</v>
      </c>
      <c r="AP24" s="523">
        <f t="shared" si="12"/>
        <v>100883135170</v>
      </c>
      <c r="AQ24" s="522"/>
      <c r="AR24" s="522"/>
      <c r="AS24" s="520"/>
    </row>
    <row r="25" spans="1:45" s="319" customFormat="1" ht="50.1" customHeight="1" x14ac:dyDescent="0.25">
      <c r="A25" s="518"/>
      <c r="B25" s="518" t="s">
        <v>228</v>
      </c>
      <c r="C25" s="524">
        <v>47</v>
      </c>
      <c r="D25" s="524">
        <v>102507090730</v>
      </c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>
        <f>SUM(Q25+M25+K25+I25+G25+E25+O25)</f>
        <v>0</v>
      </c>
      <c r="T25" s="524">
        <f>SUM(R25+N25+L25+J25+H25+F25+P25)</f>
        <v>0</v>
      </c>
      <c r="U25" s="524"/>
      <c r="V25" s="524"/>
      <c r="W25" s="524"/>
      <c r="X25" s="524"/>
      <c r="Y25" s="524">
        <v>3</v>
      </c>
      <c r="Z25" s="524">
        <v>1623955560</v>
      </c>
      <c r="AA25" s="524"/>
      <c r="AB25" s="524"/>
      <c r="AC25" s="524"/>
      <c r="AD25" s="524"/>
      <c r="AE25" s="524"/>
      <c r="AF25" s="524"/>
      <c r="AG25" s="524">
        <f>SUM(AE25+Y25+AA25+W25+AC25)</f>
        <v>3</v>
      </c>
      <c r="AH25" s="524">
        <f>SUM(AF25+Z25+AB25+X25+AD25)</f>
        <v>1623955560</v>
      </c>
      <c r="AI25" s="524">
        <f>C25+S25-AG25</f>
        <v>44</v>
      </c>
      <c r="AJ25" s="524">
        <f>D25+T25-AH25</f>
        <v>100883135170</v>
      </c>
      <c r="AK25" s="520"/>
      <c r="AL25" s="525"/>
      <c r="AM25" s="525"/>
      <c r="AN25" s="522"/>
      <c r="AO25" s="526">
        <f t="shared" si="12"/>
        <v>44</v>
      </c>
      <c r="AP25" s="527">
        <f t="shared" si="12"/>
        <v>100883135170</v>
      </c>
      <c r="AQ25" s="522"/>
      <c r="AR25" s="522"/>
      <c r="AS25" s="520"/>
    </row>
    <row r="26" spans="1:45" s="319" customFormat="1" ht="50.1" customHeight="1" x14ac:dyDescent="0.25">
      <c r="A26" s="518"/>
      <c r="B26" s="518" t="s">
        <v>229</v>
      </c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>
        <f>SUM(Q26+M26+K26+I26+G26+E26+O26)</f>
        <v>0</v>
      </c>
      <c r="T26" s="524">
        <f>SUM(R26+N26+L26+J26+H26+F26+P26)</f>
        <v>0</v>
      </c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>
        <f>SUM(AE26+Y26+AA26+W26+AC26)</f>
        <v>0</v>
      </c>
      <c r="AH26" s="524">
        <f>SUM(AF26+Z26+AB26+X26+AD26)</f>
        <v>0</v>
      </c>
      <c r="AI26" s="524">
        <f>C26+S26-AG26</f>
        <v>0</v>
      </c>
      <c r="AJ26" s="524">
        <f>D26+T26-AH26</f>
        <v>0</v>
      </c>
      <c r="AK26" s="520"/>
      <c r="AL26" s="525"/>
      <c r="AM26" s="525"/>
      <c r="AN26" s="522"/>
      <c r="AO26" s="526">
        <f t="shared" si="12"/>
        <v>0</v>
      </c>
      <c r="AP26" s="527">
        <f t="shared" si="12"/>
        <v>0</v>
      </c>
      <c r="AQ26" s="522"/>
      <c r="AR26" s="522"/>
      <c r="AS26" s="520"/>
    </row>
    <row r="27" spans="1:45" s="319" customFormat="1" ht="50.1" customHeight="1" x14ac:dyDescent="0.25">
      <c r="A27" s="518"/>
      <c r="B27" s="518"/>
      <c r="C27" s="524"/>
      <c r="D27" s="524"/>
      <c r="E27" s="122"/>
      <c r="F27" s="122"/>
      <c r="G27" s="122"/>
      <c r="H27" s="122"/>
      <c r="I27" s="122"/>
      <c r="J27" s="122"/>
      <c r="K27" s="122"/>
      <c r="L27" s="122"/>
      <c r="M27" s="524"/>
      <c r="N27" s="524"/>
      <c r="O27" s="524"/>
      <c r="P27" s="524"/>
      <c r="Q27" s="122"/>
      <c r="R27" s="122"/>
      <c r="S27" s="524"/>
      <c r="T27" s="524"/>
      <c r="U27" s="524"/>
      <c r="V27" s="524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524"/>
      <c r="AH27" s="524"/>
      <c r="AI27" s="524"/>
      <c r="AJ27" s="524"/>
      <c r="AK27" s="520"/>
      <c r="AL27" s="525"/>
      <c r="AM27" s="521"/>
      <c r="AN27" s="522"/>
      <c r="AO27" s="522"/>
      <c r="AP27" s="523"/>
      <c r="AQ27" s="522"/>
      <c r="AR27" s="522"/>
      <c r="AS27" s="520"/>
    </row>
    <row r="28" spans="1:45" s="319" customFormat="1" ht="50.1" customHeight="1" x14ac:dyDescent="0.25">
      <c r="A28" s="518">
        <v>4</v>
      </c>
      <c r="B28" s="519" t="s">
        <v>355</v>
      </c>
      <c r="C28" s="122">
        <f t="shared" ref="C28:D28" si="13">SUM(C29:C32)</f>
        <v>58</v>
      </c>
      <c r="D28" s="122">
        <f t="shared" si="13"/>
        <v>1669450925</v>
      </c>
      <c r="E28" s="122">
        <f>SUM(E29:E32)</f>
        <v>0</v>
      </c>
      <c r="F28" s="122">
        <f t="shared" ref="F28:R28" si="14">SUM(F29:F32)</f>
        <v>0</v>
      </c>
      <c r="G28" s="122">
        <f t="shared" si="14"/>
        <v>0</v>
      </c>
      <c r="H28" s="122">
        <f t="shared" si="14"/>
        <v>0</v>
      </c>
      <c r="I28" s="122">
        <f t="shared" si="14"/>
        <v>0</v>
      </c>
      <c r="J28" s="122">
        <f t="shared" si="14"/>
        <v>0</v>
      </c>
      <c r="K28" s="122">
        <f t="shared" si="14"/>
        <v>0</v>
      </c>
      <c r="L28" s="122">
        <f t="shared" si="14"/>
        <v>0</v>
      </c>
      <c r="M28" s="122">
        <f t="shared" si="14"/>
        <v>0</v>
      </c>
      <c r="N28" s="122">
        <f t="shared" si="14"/>
        <v>0</v>
      </c>
      <c r="O28" s="122">
        <f>SUM(O29:O32)</f>
        <v>0</v>
      </c>
      <c r="P28" s="122">
        <f>SUM(P29:P32)</f>
        <v>0</v>
      </c>
      <c r="Q28" s="122">
        <f t="shared" si="14"/>
        <v>0</v>
      </c>
      <c r="R28" s="122">
        <f t="shared" si="14"/>
        <v>0</v>
      </c>
      <c r="S28" s="122">
        <f>SUM(S29:S32)</f>
        <v>0</v>
      </c>
      <c r="T28" s="122">
        <f>SUM(T29:T32)</f>
        <v>0</v>
      </c>
      <c r="U28" s="122"/>
      <c r="V28" s="122"/>
      <c r="W28" s="122">
        <f t="shared" ref="W28:AF28" si="15">SUM(W29:W32)</f>
        <v>0</v>
      </c>
      <c r="X28" s="122">
        <f t="shared" si="15"/>
        <v>0</v>
      </c>
      <c r="Y28" s="122">
        <f t="shared" si="15"/>
        <v>0</v>
      </c>
      <c r="Z28" s="122">
        <f t="shared" si="15"/>
        <v>0</v>
      </c>
      <c r="AA28" s="122">
        <f t="shared" si="15"/>
        <v>0</v>
      </c>
      <c r="AB28" s="122">
        <f t="shared" si="15"/>
        <v>0</v>
      </c>
      <c r="AC28" s="122">
        <f>SUM(AC29:AC32)</f>
        <v>0</v>
      </c>
      <c r="AD28" s="122">
        <f>SUM(AD29:AD32)</f>
        <v>0</v>
      </c>
      <c r="AE28" s="122">
        <f t="shared" si="15"/>
        <v>0</v>
      </c>
      <c r="AF28" s="122">
        <f t="shared" si="15"/>
        <v>0</v>
      </c>
      <c r="AG28" s="524">
        <f>SUM(AG29:AG32)</f>
        <v>0</v>
      </c>
      <c r="AH28" s="524">
        <f>SUM(AH29:AH32)</f>
        <v>0</v>
      </c>
      <c r="AI28" s="122">
        <f>SUM(AI29:AI32)</f>
        <v>58</v>
      </c>
      <c r="AJ28" s="122">
        <f>SUM(AJ29:AJ32)</f>
        <v>1669450925</v>
      </c>
      <c r="AK28" s="520"/>
      <c r="AL28" s="521"/>
      <c r="AM28" s="521"/>
      <c r="AN28" s="522"/>
      <c r="AO28" s="522">
        <f t="shared" ref="AO28:AP32" si="16">AI28-AL28</f>
        <v>58</v>
      </c>
      <c r="AP28" s="523">
        <f t="shared" si="16"/>
        <v>1669450925</v>
      </c>
      <c r="AQ28" s="522"/>
      <c r="AR28" s="522"/>
      <c r="AS28" s="520"/>
    </row>
    <row r="29" spans="1:45" s="319" customFormat="1" ht="50.1" customHeight="1" x14ac:dyDescent="0.25">
      <c r="A29" s="518"/>
      <c r="B29" s="518" t="s">
        <v>231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>
        <f t="shared" ref="S29:T32" si="17">SUM(Q29+M29+K29+I29+G29+E29+O29)</f>
        <v>0</v>
      </c>
      <c r="T29" s="524">
        <f t="shared" si="17"/>
        <v>0</v>
      </c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>
        <f t="shared" ref="AG29:AH32" si="18">SUM(AE29+Y29+AA29+W29+AC29)</f>
        <v>0</v>
      </c>
      <c r="AH29" s="524">
        <f t="shared" si="18"/>
        <v>0</v>
      </c>
      <c r="AI29" s="524">
        <f t="shared" ref="AI29:AJ31" si="19">C29+S29-AG29</f>
        <v>0</v>
      </c>
      <c r="AJ29" s="524">
        <f t="shared" si="19"/>
        <v>0</v>
      </c>
      <c r="AK29" s="520"/>
      <c r="AL29" s="525"/>
      <c r="AM29" s="525"/>
      <c r="AN29" s="522"/>
      <c r="AO29" s="526">
        <f t="shared" si="16"/>
        <v>0</v>
      </c>
      <c r="AP29" s="527">
        <f t="shared" si="16"/>
        <v>0</v>
      </c>
      <c r="AQ29" s="522"/>
      <c r="AR29" s="522"/>
      <c r="AS29" s="520"/>
    </row>
    <row r="30" spans="1:45" s="319" customFormat="1" ht="50.1" customHeight="1" x14ac:dyDescent="0.25">
      <c r="A30" s="518"/>
      <c r="B30" s="518" t="s">
        <v>356</v>
      </c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>
        <f t="shared" si="17"/>
        <v>0</v>
      </c>
      <c r="T30" s="524">
        <f t="shared" si="17"/>
        <v>0</v>
      </c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>
        <f t="shared" si="18"/>
        <v>0</v>
      </c>
      <c r="AH30" s="524">
        <f t="shared" si="18"/>
        <v>0</v>
      </c>
      <c r="AI30" s="524">
        <f t="shared" si="19"/>
        <v>0</v>
      </c>
      <c r="AJ30" s="524">
        <f t="shared" si="19"/>
        <v>0</v>
      </c>
      <c r="AK30" s="520"/>
      <c r="AL30" s="525"/>
      <c r="AM30" s="525"/>
      <c r="AN30" s="522"/>
      <c r="AO30" s="526">
        <f t="shared" si="16"/>
        <v>0</v>
      </c>
      <c r="AP30" s="527">
        <f t="shared" si="16"/>
        <v>0</v>
      </c>
      <c r="AQ30" s="522"/>
      <c r="AR30" s="522"/>
      <c r="AS30" s="520"/>
    </row>
    <row r="31" spans="1:45" s="319" customFormat="1" ht="50.1" customHeight="1" x14ac:dyDescent="0.25">
      <c r="A31" s="518"/>
      <c r="B31" s="518" t="s">
        <v>357</v>
      </c>
      <c r="C31" s="524">
        <v>58</v>
      </c>
      <c r="D31" s="524">
        <v>1669450925</v>
      </c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>
        <f t="shared" si="17"/>
        <v>0</v>
      </c>
      <c r="T31" s="524">
        <f t="shared" si="17"/>
        <v>0</v>
      </c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4">
        <f t="shared" si="18"/>
        <v>0</v>
      </c>
      <c r="AH31" s="524">
        <f t="shared" si="18"/>
        <v>0</v>
      </c>
      <c r="AI31" s="524">
        <f t="shared" si="19"/>
        <v>58</v>
      </c>
      <c r="AJ31" s="524">
        <f t="shared" si="19"/>
        <v>1669450925</v>
      </c>
      <c r="AK31" s="520"/>
      <c r="AL31" s="525"/>
      <c r="AM31" s="525"/>
      <c r="AN31" s="522"/>
      <c r="AO31" s="526">
        <f t="shared" si="16"/>
        <v>58</v>
      </c>
      <c r="AP31" s="527">
        <f t="shared" si="16"/>
        <v>1669450925</v>
      </c>
      <c r="AQ31" s="522"/>
      <c r="AR31" s="522"/>
      <c r="AS31" s="520"/>
    </row>
    <row r="32" spans="1:45" s="319" customFormat="1" ht="50.1" customHeight="1" x14ac:dyDescent="0.25">
      <c r="A32" s="518"/>
      <c r="B32" s="518" t="s">
        <v>234</v>
      </c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>
        <f t="shared" si="17"/>
        <v>0</v>
      </c>
      <c r="T32" s="524">
        <f t="shared" si="17"/>
        <v>0</v>
      </c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>
        <f t="shared" si="18"/>
        <v>0</v>
      </c>
      <c r="AH32" s="524">
        <f t="shared" si="18"/>
        <v>0</v>
      </c>
      <c r="AI32" s="524">
        <f>SUM(C32+S32-AG32)</f>
        <v>0</v>
      </c>
      <c r="AJ32" s="524">
        <f>SUM(D32+T32-AH32)</f>
        <v>0</v>
      </c>
      <c r="AK32" s="520"/>
      <c r="AL32" s="525"/>
      <c r="AM32" s="525"/>
      <c r="AN32" s="522"/>
      <c r="AO32" s="526">
        <f t="shared" si="16"/>
        <v>0</v>
      </c>
      <c r="AP32" s="527">
        <f t="shared" si="16"/>
        <v>0</v>
      </c>
      <c r="AQ32" s="522"/>
      <c r="AR32" s="522"/>
      <c r="AS32" s="520"/>
    </row>
    <row r="33" spans="1:69" s="319" customFormat="1" ht="50.1" customHeight="1" x14ac:dyDescent="0.25">
      <c r="A33" s="518"/>
      <c r="B33" s="518"/>
      <c r="C33" s="524"/>
      <c r="D33" s="524"/>
      <c r="E33" s="122"/>
      <c r="F33" s="122"/>
      <c r="G33" s="122"/>
      <c r="H33" s="122"/>
      <c r="I33" s="122"/>
      <c r="J33" s="122"/>
      <c r="K33" s="122"/>
      <c r="L33" s="122"/>
      <c r="M33" s="524"/>
      <c r="N33" s="524"/>
      <c r="O33" s="524"/>
      <c r="P33" s="524"/>
      <c r="Q33" s="122"/>
      <c r="R33" s="122"/>
      <c r="S33" s="524"/>
      <c r="T33" s="524"/>
      <c r="U33" s="524"/>
      <c r="V33" s="524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524"/>
      <c r="AH33" s="524"/>
      <c r="AI33" s="524"/>
      <c r="AJ33" s="524"/>
      <c r="AK33" s="520"/>
      <c r="AL33" s="525"/>
      <c r="AM33" s="521"/>
      <c r="AN33" s="522"/>
      <c r="AO33" s="522"/>
      <c r="AP33" s="523"/>
      <c r="AQ33" s="522"/>
      <c r="AR33" s="522"/>
      <c r="AS33" s="520"/>
    </row>
    <row r="34" spans="1:69" s="319" customFormat="1" ht="50.1" customHeight="1" x14ac:dyDescent="0.25">
      <c r="A34" s="518">
        <v>5</v>
      </c>
      <c r="B34" s="519" t="s">
        <v>358</v>
      </c>
      <c r="C34" s="122">
        <f t="shared" ref="C34:R34" si="20">SUM(C35:C37)</f>
        <v>13910</v>
      </c>
      <c r="D34" s="122">
        <f t="shared" si="20"/>
        <v>1702270362</v>
      </c>
      <c r="E34" s="122">
        <f t="shared" si="20"/>
        <v>247</v>
      </c>
      <c r="F34" s="122">
        <f t="shared" si="20"/>
        <v>36847600</v>
      </c>
      <c r="G34" s="122">
        <f t="shared" si="20"/>
        <v>0</v>
      </c>
      <c r="H34" s="122">
        <f t="shared" si="20"/>
        <v>0</v>
      </c>
      <c r="I34" s="122">
        <f t="shared" si="20"/>
        <v>0</v>
      </c>
      <c r="J34" s="122">
        <f t="shared" si="20"/>
        <v>0</v>
      </c>
      <c r="K34" s="122">
        <f t="shared" si="20"/>
        <v>0</v>
      </c>
      <c r="L34" s="122">
        <f t="shared" si="20"/>
        <v>0</v>
      </c>
      <c r="M34" s="122">
        <f t="shared" si="20"/>
        <v>0</v>
      </c>
      <c r="N34" s="122">
        <f t="shared" si="20"/>
        <v>0</v>
      </c>
      <c r="O34" s="122">
        <f t="shared" si="20"/>
        <v>0</v>
      </c>
      <c r="P34" s="122">
        <f t="shared" si="20"/>
        <v>0</v>
      </c>
      <c r="Q34" s="122">
        <f t="shared" si="20"/>
        <v>0</v>
      </c>
      <c r="R34" s="122">
        <f t="shared" si="20"/>
        <v>0</v>
      </c>
      <c r="S34" s="122">
        <f>SUM(S35:S37)</f>
        <v>247</v>
      </c>
      <c r="T34" s="122">
        <f>SUM(T35:T37)</f>
        <v>36847600</v>
      </c>
      <c r="U34" s="122"/>
      <c r="V34" s="122"/>
      <c r="W34" s="122">
        <f t="shared" ref="W34:AF34" si="21">SUM(W35:W37)</f>
        <v>0</v>
      </c>
      <c r="X34" s="122">
        <f t="shared" si="21"/>
        <v>0</v>
      </c>
      <c r="Y34" s="122">
        <f t="shared" si="21"/>
        <v>0</v>
      </c>
      <c r="Z34" s="122">
        <f t="shared" si="21"/>
        <v>0</v>
      </c>
      <c r="AA34" s="122">
        <f t="shared" si="21"/>
        <v>0</v>
      </c>
      <c r="AB34" s="122">
        <f t="shared" si="21"/>
        <v>0</v>
      </c>
      <c r="AC34" s="122">
        <f t="shared" si="21"/>
        <v>0</v>
      </c>
      <c r="AD34" s="122">
        <f t="shared" si="21"/>
        <v>0</v>
      </c>
      <c r="AE34" s="122">
        <f t="shared" si="21"/>
        <v>0</v>
      </c>
      <c r="AF34" s="122">
        <f t="shared" si="21"/>
        <v>0</v>
      </c>
      <c r="AG34" s="122">
        <f>SUM(AG35:AG37)</f>
        <v>0</v>
      </c>
      <c r="AH34" s="122">
        <f>SUM(AH35:AH37)</f>
        <v>0</v>
      </c>
      <c r="AI34" s="122">
        <f>SUM(AI35:AI37)</f>
        <v>14157</v>
      </c>
      <c r="AJ34" s="122">
        <f>SUM(AJ35:AJ37)</f>
        <v>1739117962</v>
      </c>
      <c r="AK34" s="520"/>
      <c r="AL34" s="521"/>
      <c r="AM34" s="521"/>
      <c r="AN34" s="522"/>
      <c r="AO34" s="522">
        <f t="shared" ref="AO34:AP37" si="22">AI34-AL34</f>
        <v>14157</v>
      </c>
      <c r="AP34" s="523">
        <f t="shared" si="22"/>
        <v>1739117962</v>
      </c>
      <c r="AQ34" s="522"/>
      <c r="AR34" s="522"/>
      <c r="AS34" s="520"/>
    </row>
    <row r="35" spans="1:69" s="319" customFormat="1" ht="50.1" customHeight="1" x14ac:dyDescent="0.25">
      <c r="A35" s="518"/>
      <c r="B35" s="518" t="s">
        <v>359</v>
      </c>
      <c r="C35" s="524">
        <v>13838</v>
      </c>
      <c r="D35" s="524">
        <v>1295611020</v>
      </c>
      <c r="E35" s="524">
        <v>246</v>
      </c>
      <c r="F35" s="524">
        <v>26347600</v>
      </c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>
        <f t="shared" ref="S35:T37" si="23">SUM(Q35+M35+K35+I35+G35+E35+O35)</f>
        <v>246</v>
      </c>
      <c r="T35" s="524">
        <f t="shared" si="23"/>
        <v>26347600</v>
      </c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>
        <f t="shared" ref="AG35:AH37" si="24">SUM(AE35+Y35+AA35+W35+AC35)</f>
        <v>0</v>
      </c>
      <c r="AH35" s="524">
        <f t="shared" si="24"/>
        <v>0</v>
      </c>
      <c r="AI35" s="524">
        <f t="shared" ref="AI35:AJ37" si="25">C35+S35-AG35</f>
        <v>14084</v>
      </c>
      <c r="AJ35" s="524">
        <f t="shared" si="25"/>
        <v>1321958620</v>
      </c>
      <c r="AK35" s="520"/>
      <c r="AL35" s="525"/>
      <c r="AM35" s="525"/>
      <c r="AN35" s="522"/>
      <c r="AO35" s="526">
        <f t="shared" si="22"/>
        <v>14084</v>
      </c>
      <c r="AP35" s="527">
        <f t="shared" si="22"/>
        <v>1321958620</v>
      </c>
      <c r="AQ35" s="522"/>
      <c r="AR35" s="522"/>
      <c r="AS35" s="520"/>
    </row>
    <row r="36" spans="1:69" s="319" customFormat="1" ht="50.1" customHeight="1" x14ac:dyDescent="0.25">
      <c r="A36" s="518"/>
      <c r="B36" s="528" t="s">
        <v>237</v>
      </c>
      <c r="C36" s="529">
        <v>72</v>
      </c>
      <c r="D36" s="524">
        <v>406659342</v>
      </c>
      <c r="E36" s="524">
        <v>1</v>
      </c>
      <c r="F36" s="524">
        <v>10500000</v>
      </c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>
        <f t="shared" si="23"/>
        <v>1</v>
      </c>
      <c r="T36" s="524">
        <f t="shared" si="23"/>
        <v>10500000</v>
      </c>
      <c r="U36" s="524"/>
      <c r="V36" s="524"/>
      <c r="W36" s="524"/>
      <c r="X36" s="524"/>
      <c r="Y36" s="524"/>
      <c r="Z36" s="524"/>
      <c r="AA36" s="524"/>
      <c r="AB36" s="524"/>
      <c r="AC36" s="524"/>
      <c r="AD36" s="524"/>
      <c r="AE36" s="524"/>
      <c r="AF36" s="524"/>
      <c r="AG36" s="524">
        <f t="shared" si="24"/>
        <v>0</v>
      </c>
      <c r="AH36" s="524">
        <f t="shared" si="24"/>
        <v>0</v>
      </c>
      <c r="AI36" s="524">
        <f t="shared" si="25"/>
        <v>73</v>
      </c>
      <c r="AJ36" s="524">
        <f t="shared" si="25"/>
        <v>417159342</v>
      </c>
      <c r="AK36" s="520"/>
      <c r="AL36" s="525"/>
      <c r="AM36" s="525"/>
      <c r="AN36" s="522"/>
      <c r="AO36" s="526">
        <f t="shared" si="22"/>
        <v>73</v>
      </c>
      <c r="AP36" s="527">
        <f t="shared" si="22"/>
        <v>417159342</v>
      </c>
      <c r="AQ36" s="522"/>
      <c r="AR36" s="522"/>
      <c r="AS36" s="520"/>
    </row>
    <row r="37" spans="1:69" s="319" customFormat="1" ht="50.1" customHeight="1" x14ac:dyDescent="0.25">
      <c r="A37" s="518"/>
      <c r="B37" s="528" t="s">
        <v>360</v>
      </c>
      <c r="C37" s="529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>
        <f t="shared" si="23"/>
        <v>0</v>
      </c>
      <c r="T37" s="524">
        <f t="shared" si="23"/>
        <v>0</v>
      </c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>
        <f t="shared" si="24"/>
        <v>0</v>
      </c>
      <c r="AH37" s="524">
        <f t="shared" si="24"/>
        <v>0</v>
      </c>
      <c r="AI37" s="524">
        <f t="shared" si="25"/>
        <v>0</v>
      </c>
      <c r="AJ37" s="524">
        <f t="shared" si="25"/>
        <v>0</v>
      </c>
      <c r="AK37" s="520"/>
      <c r="AL37" s="525"/>
      <c r="AM37" s="525"/>
      <c r="AN37" s="522"/>
      <c r="AO37" s="526">
        <f t="shared" si="22"/>
        <v>0</v>
      </c>
      <c r="AP37" s="527">
        <f t="shared" si="22"/>
        <v>0</v>
      </c>
      <c r="AQ37" s="522"/>
      <c r="AR37" s="522"/>
      <c r="AS37" s="520"/>
    </row>
    <row r="38" spans="1:69" s="319" customFormat="1" ht="50.1" customHeight="1" x14ac:dyDescent="0.25">
      <c r="A38" s="518"/>
      <c r="B38" s="518"/>
      <c r="C38" s="524"/>
      <c r="D38" s="524"/>
      <c r="E38" s="122"/>
      <c r="F38" s="122"/>
      <c r="G38" s="122"/>
      <c r="H38" s="122"/>
      <c r="I38" s="122"/>
      <c r="J38" s="122"/>
      <c r="K38" s="122"/>
      <c r="L38" s="122"/>
      <c r="M38" s="524"/>
      <c r="N38" s="524"/>
      <c r="O38" s="524"/>
      <c r="P38" s="524"/>
      <c r="Q38" s="122"/>
      <c r="R38" s="122"/>
      <c r="S38" s="524"/>
      <c r="T38" s="524"/>
      <c r="U38" s="524"/>
      <c r="V38" s="524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524"/>
      <c r="AH38" s="524"/>
      <c r="AI38" s="524"/>
      <c r="AJ38" s="122"/>
      <c r="AK38" s="471"/>
      <c r="AL38" s="471"/>
      <c r="AM38" s="471"/>
      <c r="AN38" s="471"/>
      <c r="AO38" s="471"/>
      <c r="AP38" s="471"/>
      <c r="AQ38" s="471"/>
      <c r="AR38" s="471"/>
      <c r="AS38" s="471"/>
      <c r="AT38" s="453"/>
      <c r="AU38" s="452"/>
      <c r="AV38" s="453"/>
      <c r="AW38" s="452"/>
      <c r="AX38" s="453"/>
      <c r="AY38" s="452"/>
      <c r="AZ38" s="452"/>
      <c r="BA38" s="452"/>
      <c r="BB38" s="453"/>
      <c r="BC38" s="452"/>
      <c r="BD38" s="453"/>
      <c r="BE38" s="452"/>
      <c r="BF38" s="453"/>
      <c r="BG38" s="452"/>
      <c r="BH38" s="453"/>
      <c r="BI38" s="452"/>
      <c r="BJ38" s="453"/>
      <c r="BK38" s="452"/>
      <c r="BL38" s="453"/>
      <c r="BM38" s="452"/>
      <c r="BN38" s="453"/>
      <c r="BO38" s="452"/>
      <c r="BP38" s="453"/>
      <c r="BQ38" s="452"/>
    </row>
    <row r="39" spans="1:69" s="459" customFormat="1" ht="50.1" customHeight="1" x14ac:dyDescent="0.25">
      <c r="A39" s="519">
        <v>6</v>
      </c>
      <c r="B39" s="519" t="s">
        <v>775</v>
      </c>
      <c r="C39" s="122">
        <f t="shared" ref="C39:AH39" si="26">SUM(C40)</f>
        <v>0</v>
      </c>
      <c r="D39" s="122">
        <f t="shared" si="26"/>
        <v>0</v>
      </c>
      <c r="E39" s="122">
        <f t="shared" si="26"/>
        <v>0</v>
      </c>
      <c r="F39" s="122">
        <f t="shared" si="26"/>
        <v>0</v>
      </c>
      <c r="G39" s="122">
        <f t="shared" si="26"/>
        <v>0</v>
      </c>
      <c r="H39" s="122">
        <f t="shared" si="26"/>
        <v>0</v>
      </c>
      <c r="I39" s="122">
        <f t="shared" si="26"/>
        <v>0</v>
      </c>
      <c r="J39" s="122">
        <f t="shared" si="26"/>
        <v>0</v>
      </c>
      <c r="K39" s="122">
        <f t="shared" si="26"/>
        <v>0</v>
      </c>
      <c r="L39" s="122">
        <f t="shared" si="26"/>
        <v>0</v>
      </c>
      <c r="M39" s="122">
        <f t="shared" si="26"/>
        <v>0</v>
      </c>
      <c r="N39" s="122">
        <f t="shared" si="26"/>
        <v>0</v>
      </c>
      <c r="O39" s="122">
        <f t="shared" si="26"/>
        <v>0</v>
      </c>
      <c r="P39" s="122">
        <f t="shared" si="26"/>
        <v>0</v>
      </c>
      <c r="Q39" s="122">
        <f t="shared" si="26"/>
        <v>0</v>
      </c>
      <c r="R39" s="122">
        <f t="shared" si="26"/>
        <v>0</v>
      </c>
      <c r="S39" s="122">
        <f t="shared" si="26"/>
        <v>0</v>
      </c>
      <c r="T39" s="122">
        <f t="shared" si="26"/>
        <v>0</v>
      </c>
      <c r="U39" s="122">
        <f t="shared" si="26"/>
        <v>0</v>
      </c>
      <c r="V39" s="122">
        <f t="shared" si="26"/>
        <v>0</v>
      </c>
      <c r="W39" s="122">
        <f t="shared" si="26"/>
        <v>0</v>
      </c>
      <c r="X39" s="122">
        <f t="shared" si="26"/>
        <v>0</v>
      </c>
      <c r="Y39" s="122">
        <f t="shared" si="26"/>
        <v>0</v>
      </c>
      <c r="Z39" s="122">
        <f t="shared" si="26"/>
        <v>0</v>
      </c>
      <c r="AA39" s="122">
        <f t="shared" si="26"/>
        <v>0</v>
      </c>
      <c r="AB39" s="122">
        <f t="shared" si="26"/>
        <v>0</v>
      </c>
      <c r="AC39" s="122">
        <f t="shared" si="26"/>
        <v>0</v>
      </c>
      <c r="AD39" s="122">
        <f t="shared" si="26"/>
        <v>0</v>
      </c>
      <c r="AE39" s="122">
        <f t="shared" si="26"/>
        <v>0</v>
      </c>
      <c r="AF39" s="122">
        <f t="shared" si="26"/>
        <v>0</v>
      </c>
      <c r="AG39" s="122">
        <f t="shared" si="26"/>
        <v>0</v>
      </c>
      <c r="AH39" s="122">
        <f t="shared" si="26"/>
        <v>0</v>
      </c>
      <c r="AI39" s="122">
        <f>SUM(AI40)</f>
        <v>0</v>
      </c>
      <c r="AJ39" s="122">
        <f>SUM(AJ40)</f>
        <v>0</v>
      </c>
      <c r="AK39" s="531"/>
      <c r="AL39" s="531"/>
      <c r="AM39" s="531"/>
      <c r="AN39" s="531"/>
      <c r="AO39" s="531">
        <v>0</v>
      </c>
      <c r="AP39" s="531">
        <v>0</v>
      </c>
      <c r="AQ39" s="531"/>
      <c r="AR39" s="531"/>
      <c r="AS39" s="531"/>
      <c r="AT39" s="456"/>
      <c r="AU39" s="455"/>
      <c r="AV39" s="456"/>
      <c r="AW39" s="455"/>
      <c r="AX39" s="456"/>
      <c r="AY39" s="455"/>
      <c r="AZ39" s="455"/>
      <c r="BA39" s="455"/>
      <c r="BB39" s="456"/>
      <c r="BC39" s="455"/>
      <c r="BD39" s="456"/>
      <c r="BE39" s="455"/>
      <c r="BF39" s="457"/>
      <c r="BG39" s="458"/>
      <c r="BH39" s="456"/>
      <c r="BI39" s="455"/>
      <c r="BJ39" s="456"/>
      <c r="BK39" s="455"/>
      <c r="BL39" s="456"/>
      <c r="BM39" s="455"/>
      <c r="BN39" s="456"/>
      <c r="BO39" s="455"/>
      <c r="BP39" s="456"/>
      <c r="BQ39" s="455"/>
    </row>
    <row r="40" spans="1:69" s="319" customFormat="1" ht="50.1" customHeight="1" x14ac:dyDescent="0.25">
      <c r="A40" s="518"/>
      <c r="B40" s="518" t="s">
        <v>361</v>
      </c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>
        <f>SUM(Q40+M40+K40+I40+G40+E40+O40)</f>
        <v>0</v>
      </c>
      <c r="T40" s="524">
        <f>SUM(R40+N40+L40+J40+H40+F40+P40)</f>
        <v>0</v>
      </c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>
        <f>SUM(AE40+Y40+AA40+W40+AC40)</f>
        <v>0</v>
      </c>
      <c r="AH40" s="524">
        <f>SUM(AF40+Z40+AB40+X40+AD40)</f>
        <v>0</v>
      </c>
      <c r="AI40" s="524">
        <f>C40+S40-AG40</f>
        <v>0</v>
      </c>
      <c r="AJ40" s="122">
        <f>D40+T40-AH40</f>
        <v>0</v>
      </c>
      <c r="AK40" s="471"/>
      <c r="AL40" s="471"/>
      <c r="AM40" s="471"/>
      <c r="AN40" s="471"/>
      <c r="AO40" s="471">
        <v>0</v>
      </c>
      <c r="AP40" s="471"/>
      <c r="AQ40" s="471"/>
      <c r="AR40" s="531"/>
      <c r="AS40" s="531"/>
      <c r="AT40" s="455"/>
      <c r="AU40" s="455"/>
      <c r="AV40" s="461"/>
      <c r="AW40" s="460"/>
      <c r="AX40" s="456"/>
      <c r="AY40" s="455"/>
      <c r="AZ40" s="455"/>
      <c r="BA40" s="455"/>
      <c r="BB40" s="461"/>
      <c r="BC40" s="460"/>
      <c r="BD40" s="461"/>
      <c r="BE40" s="460"/>
      <c r="BF40" s="461"/>
      <c r="BG40" s="460"/>
      <c r="BH40" s="461"/>
      <c r="BI40" s="460"/>
      <c r="BJ40" s="461"/>
      <c r="BK40" s="460"/>
      <c r="BL40" s="461"/>
      <c r="BM40" s="460"/>
      <c r="BN40" s="456"/>
      <c r="BO40" s="455"/>
      <c r="BP40" s="456"/>
      <c r="BQ40" s="455"/>
    </row>
    <row r="41" spans="1:69" s="319" customFormat="1" ht="50.1" customHeight="1" x14ac:dyDescent="0.25">
      <c r="A41" s="532"/>
      <c r="B41" s="532"/>
      <c r="C41" s="533"/>
      <c r="D41" s="534"/>
      <c r="E41" s="534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122"/>
      <c r="AK41" s="471"/>
      <c r="AL41" s="471"/>
      <c r="AM41" s="471"/>
      <c r="AN41" s="471"/>
      <c r="AO41" s="471"/>
      <c r="AP41" s="471"/>
      <c r="AQ41" s="471"/>
      <c r="AR41" s="471"/>
      <c r="AS41" s="471"/>
      <c r="AT41" s="461"/>
      <c r="AU41" s="452"/>
      <c r="AV41" s="461"/>
      <c r="AW41" s="452"/>
      <c r="AX41" s="461"/>
      <c r="AY41" s="452"/>
      <c r="AZ41" s="452"/>
      <c r="BA41" s="452"/>
      <c r="BB41" s="461"/>
      <c r="BC41" s="452"/>
      <c r="BD41" s="461"/>
      <c r="BE41" s="452"/>
      <c r="BF41" s="461"/>
      <c r="BG41" s="452"/>
      <c r="BH41" s="461"/>
      <c r="BI41" s="452"/>
      <c r="BJ41" s="461"/>
      <c r="BK41" s="452"/>
      <c r="BL41" s="461"/>
      <c r="BM41" s="452"/>
      <c r="BN41" s="461"/>
      <c r="BO41" s="452"/>
      <c r="BP41" s="461"/>
      <c r="BQ41" s="452"/>
    </row>
    <row r="42" spans="1:69" s="462" customFormat="1" ht="50.1" customHeight="1" x14ac:dyDescent="0.25">
      <c r="A42" s="535"/>
      <c r="B42" s="536" t="s">
        <v>362</v>
      </c>
      <c r="C42" s="537">
        <f t="shared" ref="C42:AJ42" si="27">C34+C28+C24+C13+C10+C39</f>
        <v>38721</v>
      </c>
      <c r="D42" s="537">
        <f t="shared" si="27"/>
        <v>420313734235.00159</v>
      </c>
      <c r="E42" s="537">
        <f t="shared" si="27"/>
        <v>478</v>
      </c>
      <c r="F42" s="537">
        <f t="shared" si="27"/>
        <v>2976163600</v>
      </c>
      <c r="G42" s="537">
        <f t="shared" si="27"/>
        <v>0</v>
      </c>
      <c r="H42" s="537">
        <f t="shared" si="27"/>
        <v>0</v>
      </c>
      <c r="I42" s="537">
        <f t="shared" si="27"/>
        <v>0</v>
      </c>
      <c r="J42" s="537">
        <f t="shared" si="27"/>
        <v>0</v>
      </c>
      <c r="K42" s="537">
        <f t="shared" si="27"/>
        <v>42</v>
      </c>
      <c r="L42" s="537">
        <f t="shared" si="27"/>
        <v>8888329215</v>
      </c>
      <c r="M42" s="537">
        <f t="shared" si="27"/>
        <v>0</v>
      </c>
      <c r="N42" s="537">
        <f t="shared" si="27"/>
        <v>0</v>
      </c>
      <c r="O42" s="537">
        <f t="shared" si="27"/>
        <v>0</v>
      </c>
      <c r="P42" s="537">
        <f t="shared" si="27"/>
        <v>0</v>
      </c>
      <c r="Q42" s="537">
        <f t="shared" si="27"/>
        <v>0</v>
      </c>
      <c r="R42" s="537">
        <f t="shared" si="27"/>
        <v>0</v>
      </c>
      <c r="S42" s="537">
        <f t="shared" si="27"/>
        <v>520</v>
      </c>
      <c r="T42" s="537">
        <f t="shared" si="27"/>
        <v>11864492815</v>
      </c>
      <c r="U42" s="537">
        <f t="shared" si="27"/>
        <v>0</v>
      </c>
      <c r="V42" s="537">
        <f t="shared" si="27"/>
        <v>0</v>
      </c>
      <c r="W42" s="537">
        <f t="shared" si="27"/>
        <v>348</v>
      </c>
      <c r="X42" s="537">
        <f t="shared" si="27"/>
        <v>48412697</v>
      </c>
      <c r="Y42" s="537">
        <f t="shared" si="27"/>
        <v>2863</v>
      </c>
      <c r="Z42" s="537">
        <f t="shared" si="27"/>
        <v>27546595009</v>
      </c>
      <c r="AA42" s="537">
        <f t="shared" si="27"/>
        <v>0</v>
      </c>
      <c r="AB42" s="537">
        <f t="shared" si="27"/>
        <v>0</v>
      </c>
      <c r="AC42" s="537">
        <f t="shared" si="27"/>
        <v>0</v>
      </c>
      <c r="AD42" s="537">
        <f t="shared" si="27"/>
        <v>0</v>
      </c>
      <c r="AE42" s="537">
        <f t="shared" si="27"/>
        <v>4</v>
      </c>
      <c r="AF42" s="537">
        <f t="shared" si="27"/>
        <v>749300000</v>
      </c>
      <c r="AG42" s="537">
        <f t="shared" si="27"/>
        <v>3215</v>
      </c>
      <c r="AH42" s="537">
        <f t="shared" si="27"/>
        <v>28344307706</v>
      </c>
      <c r="AI42" s="537">
        <f t="shared" si="27"/>
        <v>36026</v>
      </c>
      <c r="AJ42" s="537">
        <f t="shared" si="27"/>
        <v>403833919344.00159</v>
      </c>
      <c r="AK42" s="531"/>
      <c r="AL42" s="531"/>
      <c r="AM42" s="531"/>
      <c r="AN42" s="531"/>
      <c r="AO42" s="531">
        <v>1438</v>
      </c>
      <c r="AP42" s="531">
        <v>53817403166</v>
      </c>
      <c r="AQ42" s="531"/>
      <c r="AR42" s="531"/>
      <c r="AS42" s="693"/>
      <c r="AT42" s="455"/>
      <c r="AU42" s="455"/>
      <c r="AV42" s="456"/>
      <c r="AW42" s="455"/>
      <c r="AX42" s="456"/>
      <c r="AY42" s="455"/>
      <c r="AZ42" s="455"/>
      <c r="BA42" s="455"/>
      <c r="BB42" s="456"/>
      <c r="BC42" s="455"/>
      <c r="BD42" s="456"/>
      <c r="BE42" s="455"/>
      <c r="BF42" s="456"/>
      <c r="BG42" s="455"/>
      <c r="BH42" s="456"/>
      <c r="BI42" s="455"/>
      <c r="BJ42" s="456"/>
      <c r="BK42" s="455"/>
      <c r="BL42" s="456"/>
      <c r="BM42" s="455"/>
      <c r="BN42" s="456"/>
      <c r="BO42" s="455"/>
      <c r="BP42" s="456"/>
      <c r="BQ42" s="455"/>
    </row>
    <row r="43" spans="1:69" ht="23.25" x14ac:dyDescent="0.25">
      <c r="A43" s="538"/>
      <c r="B43" s="539"/>
      <c r="C43" s="539"/>
      <c r="D43" s="565">
        <f>D42-[6]SPLIT_ALL!$F$729</f>
        <v>1.5869140625E-3</v>
      </c>
      <c r="E43" s="539"/>
      <c r="F43" s="540">
        <f>+F42-'LRA STLH KONVERSI (RINCI)'!E94</f>
        <v>0</v>
      </c>
      <c r="G43" s="539"/>
      <c r="H43" s="539"/>
      <c r="I43" s="539"/>
      <c r="J43" s="539"/>
      <c r="K43" s="539"/>
      <c r="L43" s="541">
        <f>+L42-[7]JurnalAT!$P$35-[6]SPLIT_ALL!$AF$729</f>
        <v>0</v>
      </c>
      <c r="M43" s="539"/>
      <c r="N43" s="542"/>
      <c r="O43" s="541"/>
      <c r="P43" s="541"/>
      <c r="Q43" s="539"/>
      <c r="R43" s="541"/>
      <c r="S43" s="540"/>
      <c r="T43" s="540"/>
      <c r="U43" s="540"/>
      <c r="V43" s="540"/>
      <c r="W43" s="539"/>
      <c r="X43" s="539"/>
      <c r="Y43" s="539"/>
      <c r="Z43" s="566">
        <f>[7]JurnalAT!$AB$35+[6]SPLIT_ALL!$R$729</f>
        <v>27546595009</v>
      </c>
      <c r="AA43" s="539"/>
      <c r="AB43" s="544"/>
      <c r="AC43" s="544"/>
      <c r="AD43" s="544"/>
      <c r="AE43" s="539"/>
      <c r="AF43" s="543"/>
      <c r="AG43" s="540"/>
      <c r="AH43" s="543"/>
      <c r="AI43" s="539"/>
      <c r="AJ43" s="545"/>
      <c r="AK43" s="546"/>
      <c r="AL43" s="531"/>
      <c r="AM43" s="531"/>
      <c r="AN43" s="531"/>
      <c r="AO43" s="531"/>
      <c r="AP43" s="531"/>
      <c r="AQ43" s="531"/>
      <c r="AR43" s="531"/>
      <c r="AS43" s="531"/>
      <c r="AT43" s="463"/>
      <c r="AU43" s="455"/>
      <c r="AV43" s="456"/>
      <c r="AW43" s="455"/>
      <c r="AX43" s="456"/>
      <c r="AY43" s="455"/>
      <c r="AZ43" s="455"/>
      <c r="BA43" s="455"/>
      <c r="BB43" s="456"/>
      <c r="BC43" s="455"/>
      <c r="BD43" s="457"/>
      <c r="BE43" s="458"/>
      <c r="BF43" s="456"/>
      <c r="BG43" s="455"/>
      <c r="BH43" s="456"/>
      <c r="BI43" s="455"/>
      <c r="BJ43" s="456"/>
      <c r="BK43" s="455"/>
      <c r="BL43" s="456"/>
      <c r="BM43" s="455"/>
      <c r="BN43" s="456"/>
      <c r="BO43" s="455"/>
      <c r="BP43" s="456"/>
      <c r="BQ43" s="455"/>
    </row>
    <row r="44" spans="1:69" ht="44.25" customHeight="1" x14ac:dyDescent="0.25">
      <c r="A44" s="736" t="s">
        <v>328</v>
      </c>
      <c r="B44" s="736"/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531"/>
      <c r="AL44" s="531"/>
      <c r="AM44" s="531"/>
      <c r="AN44" s="531"/>
      <c r="AO44" s="531"/>
      <c r="AP44" s="531"/>
      <c r="AQ44" s="531"/>
      <c r="AR44" s="531"/>
      <c r="AS44" s="531"/>
      <c r="AT44" s="455"/>
      <c r="AU44" s="455"/>
      <c r="AV44" s="456"/>
      <c r="AW44" s="455"/>
      <c r="AX44" s="456"/>
      <c r="AY44" s="455"/>
      <c r="AZ44" s="455"/>
      <c r="BA44" s="455"/>
      <c r="BB44" s="456"/>
      <c r="BC44" s="455"/>
      <c r="BD44" s="456"/>
      <c r="BE44" s="455"/>
      <c r="BF44" s="456"/>
      <c r="BG44" s="455"/>
      <c r="BH44" s="456"/>
      <c r="BI44" s="455"/>
      <c r="BJ44" s="456"/>
      <c r="BK44" s="455"/>
      <c r="BL44" s="456"/>
      <c r="BM44" s="455"/>
      <c r="BN44" s="456"/>
      <c r="BO44" s="455"/>
      <c r="BP44" s="456"/>
      <c r="BQ44" s="455"/>
    </row>
    <row r="45" spans="1:69" ht="44.25" customHeight="1" x14ac:dyDescent="0.25">
      <c r="A45" s="736" t="s">
        <v>1151</v>
      </c>
      <c r="B45" s="736"/>
      <c r="C45" s="736"/>
      <c r="D45" s="736"/>
      <c r="E45" s="736"/>
      <c r="F45" s="736"/>
      <c r="G45" s="736"/>
      <c r="H45" s="736"/>
      <c r="I45" s="736"/>
      <c r="J45" s="736"/>
      <c r="K45" s="736"/>
      <c r="L45" s="736"/>
      <c r="M45" s="736"/>
      <c r="N45" s="736"/>
      <c r="O45" s="736"/>
      <c r="P45" s="736"/>
      <c r="Q45" s="736"/>
      <c r="R45" s="736"/>
      <c r="S45" s="736"/>
      <c r="T45" s="736"/>
      <c r="U45" s="736"/>
      <c r="V45" s="736"/>
      <c r="W45" s="736"/>
      <c r="X45" s="736"/>
      <c r="Y45" s="736"/>
      <c r="Z45" s="736"/>
      <c r="AA45" s="736"/>
      <c r="AB45" s="736"/>
      <c r="AC45" s="736"/>
      <c r="AD45" s="736"/>
      <c r="AE45" s="736"/>
      <c r="AF45" s="736"/>
      <c r="AG45" s="736"/>
      <c r="AH45" s="736"/>
      <c r="AI45" s="736"/>
      <c r="AJ45" s="736"/>
      <c r="AK45" s="531"/>
      <c r="AL45" s="531"/>
      <c r="AM45" s="531"/>
      <c r="AN45" s="531"/>
      <c r="AO45" s="531"/>
      <c r="AP45" s="531"/>
      <c r="AQ45" s="531"/>
      <c r="AR45" s="531"/>
      <c r="AS45" s="531"/>
      <c r="AT45" s="455"/>
      <c r="AU45" s="455"/>
      <c r="AV45" s="456"/>
      <c r="AW45" s="455"/>
      <c r="AX45" s="456"/>
      <c r="AY45" s="455"/>
      <c r="AZ45" s="455"/>
      <c r="BA45" s="455"/>
      <c r="BB45" s="456"/>
      <c r="BC45" s="455"/>
      <c r="BD45" s="456"/>
      <c r="BE45" s="455"/>
      <c r="BF45" s="456"/>
      <c r="BG45" s="455"/>
      <c r="BH45" s="456"/>
      <c r="BI45" s="455"/>
      <c r="BJ45" s="456"/>
      <c r="BK45" s="455"/>
      <c r="BL45" s="456"/>
      <c r="BM45" s="455"/>
      <c r="BN45" s="456"/>
      <c r="BO45" s="455"/>
      <c r="BP45" s="456"/>
      <c r="BQ45" s="455"/>
    </row>
    <row r="46" spans="1:69" s="113" customFormat="1" ht="21.75" customHeight="1" x14ac:dyDescent="0.25">
      <c r="A46" s="738" t="s">
        <v>22</v>
      </c>
      <c r="B46" s="738" t="s">
        <v>329</v>
      </c>
      <c r="C46" s="746" t="s">
        <v>330</v>
      </c>
      <c r="D46" s="749" t="s">
        <v>845</v>
      </c>
      <c r="E46" s="746" t="s">
        <v>330</v>
      </c>
      <c r="F46" s="741" t="s">
        <v>331</v>
      </c>
      <c r="G46" s="742"/>
      <c r="H46" s="742"/>
      <c r="I46" s="742"/>
      <c r="J46" s="742"/>
      <c r="K46" s="742"/>
      <c r="L46" s="742"/>
      <c r="M46" s="742"/>
      <c r="N46" s="742"/>
      <c r="O46" s="742"/>
      <c r="P46" s="742"/>
      <c r="Q46" s="742"/>
      <c r="R46" s="742"/>
      <c r="S46" s="742"/>
      <c r="T46" s="743"/>
      <c r="U46" s="547"/>
      <c r="V46" s="547"/>
      <c r="W46" s="742" t="s">
        <v>366</v>
      </c>
      <c r="X46" s="742"/>
      <c r="Y46" s="742"/>
      <c r="Z46" s="742"/>
      <c r="AA46" s="742"/>
      <c r="AB46" s="742"/>
      <c r="AC46" s="742"/>
      <c r="AD46" s="742"/>
      <c r="AE46" s="742"/>
      <c r="AF46" s="742"/>
      <c r="AG46" s="742"/>
      <c r="AH46" s="743"/>
      <c r="AI46" s="548"/>
      <c r="AJ46" s="738" t="s">
        <v>846</v>
      </c>
      <c r="AK46" s="549"/>
      <c r="AL46" s="549"/>
      <c r="AM46" s="521"/>
      <c r="AN46" s="522"/>
      <c r="AO46" s="522"/>
      <c r="AP46" s="523"/>
      <c r="AQ46" s="522"/>
      <c r="AR46" s="522"/>
      <c r="AS46" s="522"/>
    </row>
    <row r="47" spans="1:69" s="113" customFormat="1" ht="21.75" customHeight="1" x14ac:dyDescent="0.25">
      <c r="A47" s="744"/>
      <c r="B47" s="744"/>
      <c r="C47" s="747"/>
      <c r="D47" s="750"/>
      <c r="E47" s="747"/>
      <c r="F47" s="550"/>
      <c r="G47" s="737" t="s">
        <v>330</v>
      </c>
      <c r="H47" s="737" t="s">
        <v>332</v>
      </c>
      <c r="I47" s="737" t="s">
        <v>330</v>
      </c>
      <c r="J47" s="740" t="s">
        <v>333</v>
      </c>
      <c r="K47" s="737" t="s">
        <v>330</v>
      </c>
      <c r="L47" s="737" t="s">
        <v>334</v>
      </c>
      <c r="M47" s="741" t="s">
        <v>335</v>
      </c>
      <c r="N47" s="742"/>
      <c r="O47" s="742"/>
      <c r="P47" s="743"/>
      <c r="Q47" s="737" t="s">
        <v>330</v>
      </c>
      <c r="R47" s="737" t="s">
        <v>336</v>
      </c>
      <c r="S47" s="737" t="s">
        <v>330</v>
      </c>
      <c r="T47" s="737" t="s">
        <v>337</v>
      </c>
      <c r="U47" s="551"/>
      <c r="V47" s="551"/>
      <c r="W47" s="738" t="s">
        <v>330</v>
      </c>
      <c r="X47" s="738" t="s">
        <v>339</v>
      </c>
      <c r="Y47" s="738" t="s">
        <v>330</v>
      </c>
      <c r="Z47" s="738" t="s">
        <v>340</v>
      </c>
      <c r="AA47" s="741" t="s">
        <v>335</v>
      </c>
      <c r="AB47" s="742"/>
      <c r="AC47" s="742"/>
      <c r="AD47" s="743"/>
      <c r="AE47" s="738" t="s">
        <v>330</v>
      </c>
      <c r="AF47" s="738" t="s">
        <v>187</v>
      </c>
      <c r="AG47" s="738" t="s">
        <v>330</v>
      </c>
      <c r="AH47" s="738" t="s">
        <v>341</v>
      </c>
      <c r="AI47" s="552"/>
      <c r="AJ47" s="744"/>
      <c r="AK47" s="549"/>
      <c r="AL47" s="549"/>
      <c r="AM47" s="521"/>
      <c r="AN47" s="522"/>
      <c r="AO47" s="522"/>
      <c r="AP47" s="523"/>
      <c r="AQ47" s="522"/>
      <c r="AR47" s="752" t="s">
        <v>769</v>
      </c>
      <c r="AS47" s="752"/>
    </row>
    <row r="48" spans="1:69" s="113" customFormat="1" ht="73.5" customHeight="1" thickBot="1" x14ac:dyDescent="0.3">
      <c r="A48" s="745"/>
      <c r="B48" s="745"/>
      <c r="C48" s="748"/>
      <c r="D48" s="751"/>
      <c r="E48" s="748"/>
      <c r="F48" s="550" t="s">
        <v>342</v>
      </c>
      <c r="G48" s="737"/>
      <c r="H48" s="737"/>
      <c r="I48" s="737"/>
      <c r="J48" s="740"/>
      <c r="K48" s="737"/>
      <c r="L48" s="737"/>
      <c r="M48" s="553" t="s">
        <v>330</v>
      </c>
      <c r="N48" s="553" t="s">
        <v>214</v>
      </c>
      <c r="O48" s="553" t="s">
        <v>330</v>
      </c>
      <c r="P48" s="553" t="s">
        <v>243</v>
      </c>
      <c r="Q48" s="737"/>
      <c r="R48" s="737"/>
      <c r="S48" s="737"/>
      <c r="T48" s="737"/>
      <c r="U48" s="554"/>
      <c r="V48" s="554"/>
      <c r="W48" s="739"/>
      <c r="X48" s="739"/>
      <c r="Y48" s="739"/>
      <c r="Z48" s="739"/>
      <c r="AA48" s="554" t="s">
        <v>330</v>
      </c>
      <c r="AB48" s="553" t="s">
        <v>214</v>
      </c>
      <c r="AC48" s="553" t="s">
        <v>330</v>
      </c>
      <c r="AD48" s="553" t="s">
        <v>243</v>
      </c>
      <c r="AE48" s="739"/>
      <c r="AF48" s="739"/>
      <c r="AG48" s="739"/>
      <c r="AH48" s="739"/>
      <c r="AI48" s="553" t="s">
        <v>330</v>
      </c>
      <c r="AJ48" s="739"/>
      <c r="AK48" s="549"/>
      <c r="AL48" s="753" t="s">
        <v>770</v>
      </c>
      <c r="AM48" s="753"/>
      <c r="AN48" s="522"/>
      <c r="AO48" s="754" t="s">
        <v>759</v>
      </c>
      <c r="AP48" s="754"/>
      <c r="AQ48" s="522"/>
      <c r="AR48" s="555" t="s">
        <v>368</v>
      </c>
      <c r="AS48" s="556" t="s">
        <v>771</v>
      </c>
    </row>
    <row r="49" spans="1:70" s="117" customFormat="1" ht="21.75" customHeight="1" thickTop="1" x14ac:dyDescent="0.25">
      <c r="A49" s="557">
        <v>1</v>
      </c>
      <c r="B49" s="558">
        <v>2</v>
      </c>
      <c r="C49" s="755">
        <v>3</v>
      </c>
      <c r="D49" s="756"/>
      <c r="E49" s="757">
        <v>4</v>
      </c>
      <c r="F49" s="758"/>
      <c r="G49" s="755">
        <v>5</v>
      </c>
      <c r="H49" s="756"/>
      <c r="I49" s="759">
        <v>6</v>
      </c>
      <c r="J49" s="760"/>
      <c r="K49" s="759">
        <v>7</v>
      </c>
      <c r="L49" s="760"/>
      <c r="M49" s="759">
        <v>8</v>
      </c>
      <c r="N49" s="760"/>
      <c r="O49" s="759">
        <v>9</v>
      </c>
      <c r="P49" s="760"/>
      <c r="Q49" s="759">
        <v>10</v>
      </c>
      <c r="R49" s="760"/>
      <c r="S49" s="759">
        <v>11</v>
      </c>
      <c r="T49" s="760"/>
      <c r="U49" s="559"/>
      <c r="V49" s="559"/>
      <c r="W49" s="759">
        <v>12</v>
      </c>
      <c r="X49" s="760"/>
      <c r="Y49" s="759">
        <v>13</v>
      </c>
      <c r="Z49" s="760"/>
      <c r="AA49" s="759">
        <v>14</v>
      </c>
      <c r="AB49" s="760"/>
      <c r="AC49" s="759">
        <v>15</v>
      </c>
      <c r="AD49" s="760"/>
      <c r="AE49" s="759">
        <v>16</v>
      </c>
      <c r="AF49" s="760"/>
      <c r="AG49" s="759">
        <v>17</v>
      </c>
      <c r="AH49" s="760"/>
      <c r="AI49" s="759">
        <v>18</v>
      </c>
      <c r="AJ49" s="760"/>
      <c r="AK49" s="549"/>
      <c r="AL49" s="560" t="s">
        <v>330</v>
      </c>
      <c r="AM49" s="561" t="s">
        <v>772</v>
      </c>
      <c r="AN49" s="560"/>
      <c r="AO49" s="560" t="s">
        <v>330</v>
      </c>
      <c r="AP49" s="562" t="s">
        <v>772</v>
      </c>
      <c r="AQ49" s="522"/>
      <c r="AR49" s="522"/>
      <c r="AS49" s="522"/>
    </row>
    <row r="50" spans="1:70" s="319" customFormat="1" ht="50.1" customHeight="1" x14ac:dyDescent="0.25">
      <c r="A50" s="518">
        <v>1</v>
      </c>
      <c r="B50" s="519" t="s">
        <v>776</v>
      </c>
      <c r="C50" s="122">
        <f t="shared" ref="C50:T50" si="28">SUM(C51:C51)</f>
        <v>0</v>
      </c>
      <c r="D50" s="122">
        <f t="shared" si="28"/>
        <v>0</v>
      </c>
      <c r="E50" s="122">
        <f t="shared" si="28"/>
        <v>0</v>
      </c>
      <c r="F50" s="122">
        <f t="shared" si="28"/>
        <v>0</v>
      </c>
      <c r="G50" s="122">
        <f t="shared" si="28"/>
        <v>0</v>
      </c>
      <c r="H50" s="122">
        <f t="shared" si="28"/>
        <v>0</v>
      </c>
      <c r="I50" s="122">
        <f t="shared" si="28"/>
        <v>0</v>
      </c>
      <c r="J50" s="122">
        <f t="shared" si="28"/>
        <v>0</v>
      </c>
      <c r="K50" s="122">
        <f t="shared" si="28"/>
        <v>0</v>
      </c>
      <c r="L50" s="122">
        <f t="shared" si="28"/>
        <v>0</v>
      </c>
      <c r="M50" s="122">
        <f t="shared" si="28"/>
        <v>0</v>
      </c>
      <c r="N50" s="122">
        <f t="shared" si="28"/>
        <v>0</v>
      </c>
      <c r="O50" s="122">
        <f t="shared" si="28"/>
        <v>0</v>
      </c>
      <c r="P50" s="122">
        <f t="shared" si="28"/>
        <v>0</v>
      </c>
      <c r="Q50" s="122">
        <f t="shared" si="28"/>
        <v>0</v>
      </c>
      <c r="R50" s="122">
        <f t="shared" si="28"/>
        <v>0</v>
      </c>
      <c r="S50" s="122">
        <f t="shared" si="28"/>
        <v>0</v>
      </c>
      <c r="T50" s="122">
        <f t="shared" si="28"/>
        <v>0</v>
      </c>
      <c r="U50" s="122"/>
      <c r="V50" s="122"/>
      <c r="W50" s="122">
        <f t="shared" ref="W50:AJ50" si="29">SUM(W51:W51)</f>
        <v>0</v>
      </c>
      <c r="X50" s="122">
        <f t="shared" si="29"/>
        <v>0</v>
      </c>
      <c r="Y50" s="122">
        <f t="shared" si="29"/>
        <v>0</v>
      </c>
      <c r="Z50" s="122">
        <f t="shared" si="29"/>
        <v>0</v>
      </c>
      <c r="AA50" s="122">
        <f t="shared" si="29"/>
        <v>0</v>
      </c>
      <c r="AB50" s="122">
        <f t="shared" si="29"/>
        <v>0</v>
      </c>
      <c r="AC50" s="122">
        <f t="shared" si="29"/>
        <v>0</v>
      </c>
      <c r="AD50" s="122">
        <f t="shared" si="29"/>
        <v>0</v>
      </c>
      <c r="AE50" s="122">
        <f t="shared" si="29"/>
        <v>0</v>
      </c>
      <c r="AF50" s="122">
        <f t="shared" si="29"/>
        <v>0</v>
      </c>
      <c r="AG50" s="122">
        <f t="shared" si="29"/>
        <v>0</v>
      </c>
      <c r="AH50" s="122">
        <f t="shared" si="29"/>
        <v>0</v>
      </c>
      <c r="AI50" s="122">
        <f t="shared" si="29"/>
        <v>0</v>
      </c>
      <c r="AJ50" s="122">
        <f t="shared" si="29"/>
        <v>0</v>
      </c>
      <c r="AK50" s="520"/>
      <c r="AL50" s="521"/>
      <c r="AM50" s="521"/>
      <c r="AN50" s="522"/>
      <c r="AO50" s="522">
        <f>AI50-AL50</f>
        <v>0</v>
      </c>
      <c r="AP50" s="523">
        <f>AJ50-AM50</f>
        <v>0</v>
      </c>
      <c r="AQ50" s="522"/>
      <c r="AR50" s="522"/>
      <c r="AS50" s="520"/>
    </row>
    <row r="51" spans="1:70" s="319" customFormat="1" ht="50.1" customHeight="1" x14ac:dyDescent="0.25">
      <c r="A51" s="518"/>
      <c r="B51" s="518" t="s">
        <v>777</v>
      </c>
      <c r="C51" s="524"/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>
        <f>SUM(Q51+M51+K51+I51+G51+E51+O51)</f>
        <v>0</v>
      </c>
      <c r="T51" s="524">
        <f>SUM(R51+N51+L51+J51+H51+F51+P51)</f>
        <v>0</v>
      </c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>
        <f>SUM(AE51+Y51+AA51+W51+AC51)</f>
        <v>0</v>
      </c>
      <c r="AH51" s="524">
        <f>SUM(AF51+Z51+AB51+X51+AD51)</f>
        <v>0</v>
      </c>
      <c r="AI51" s="524">
        <f>C51+S51-AG51</f>
        <v>0</v>
      </c>
      <c r="AJ51" s="524">
        <f>D51+T51-AH51</f>
        <v>0</v>
      </c>
      <c r="AK51" s="520"/>
      <c r="AL51" s="525"/>
      <c r="AM51" s="525"/>
      <c r="AN51" s="522"/>
      <c r="AO51" s="526">
        <f>AI51-AL51</f>
        <v>0</v>
      </c>
      <c r="AP51" s="527">
        <f>AJ51-AM51</f>
        <v>0</v>
      </c>
      <c r="AQ51" s="522"/>
      <c r="AR51" s="522"/>
      <c r="AS51" s="520"/>
    </row>
    <row r="52" spans="1:70" s="319" customFormat="1" ht="50.1" customHeight="1" x14ac:dyDescent="0.25">
      <c r="A52" s="518"/>
      <c r="B52" s="518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524"/>
      <c r="N52" s="524"/>
      <c r="O52" s="524"/>
      <c r="P52" s="524"/>
      <c r="Q52" s="122"/>
      <c r="R52" s="122"/>
      <c r="S52" s="524"/>
      <c r="T52" s="524"/>
      <c r="U52" s="524"/>
      <c r="V52" s="524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524"/>
      <c r="AH52" s="524"/>
      <c r="AI52" s="524"/>
      <c r="AJ52" s="122">
        <f>SUM(AJ53)</f>
        <v>0</v>
      </c>
      <c r="AK52" s="530">
        <f>SUM(AK53)</f>
        <v>2336538324</v>
      </c>
      <c r="AL52" s="471"/>
      <c r="AM52" s="471"/>
      <c r="AN52" s="471"/>
      <c r="AO52" s="471"/>
      <c r="AP52" s="471"/>
      <c r="AQ52" s="471"/>
      <c r="AR52" s="471"/>
      <c r="AS52" s="471"/>
      <c r="AT52" s="453"/>
      <c r="AU52" s="452"/>
      <c r="AV52" s="453"/>
      <c r="AW52" s="452"/>
      <c r="AX52" s="453"/>
      <c r="AY52" s="452"/>
      <c r="AZ52" s="452"/>
      <c r="BA52" s="452"/>
      <c r="BB52" s="453"/>
      <c r="BC52" s="452"/>
      <c r="BD52" s="453"/>
      <c r="BE52" s="452"/>
      <c r="BF52" s="453"/>
      <c r="BG52" s="452"/>
      <c r="BH52" s="453"/>
      <c r="BI52" s="452"/>
      <c r="BJ52" s="453"/>
      <c r="BK52" s="452"/>
      <c r="BL52" s="453"/>
      <c r="BM52" s="452"/>
      <c r="BN52" s="453"/>
      <c r="BO52" s="452"/>
      <c r="BP52" s="453"/>
      <c r="BQ52" s="452"/>
      <c r="BR52" s="472"/>
    </row>
    <row r="53" spans="1:70" s="459" customFormat="1" ht="50.1" customHeight="1" x14ac:dyDescent="0.25">
      <c r="A53" s="519">
        <v>2</v>
      </c>
      <c r="B53" s="519" t="s">
        <v>778</v>
      </c>
      <c r="C53" s="122">
        <f>SUM(C54)</f>
        <v>0</v>
      </c>
      <c r="D53" s="122">
        <f t="shared" ref="D53:R53" si="30">SUM(D54)</f>
        <v>0</v>
      </c>
      <c r="E53" s="122">
        <f>SUM(E54)</f>
        <v>0</v>
      </c>
      <c r="F53" s="122">
        <f t="shared" si="30"/>
        <v>0</v>
      </c>
      <c r="G53" s="122">
        <f t="shared" si="30"/>
        <v>0</v>
      </c>
      <c r="H53" s="122">
        <f t="shared" si="30"/>
        <v>0</v>
      </c>
      <c r="I53" s="122">
        <f t="shared" si="30"/>
        <v>0</v>
      </c>
      <c r="J53" s="122">
        <f t="shared" si="30"/>
        <v>0</v>
      </c>
      <c r="K53" s="122">
        <f t="shared" si="30"/>
        <v>0</v>
      </c>
      <c r="L53" s="122">
        <f t="shared" si="30"/>
        <v>0</v>
      </c>
      <c r="M53" s="122">
        <f t="shared" si="30"/>
        <v>0</v>
      </c>
      <c r="N53" s="122">
        <f t="shared" si="30"/>
        <v>0</v>
      </c>
      <c r="O53" s="122">
        <f t="shared" si="30"/>
        <v>0</v>
      </c>
      <c r="P53" s="122">
        <f t="shared" si="30"/>
        <v>0</v>
      </c>
      <c r="Q53" s="122">
        <f t="shared" si="30"/>
        <v>0</v>
      </c>
      <c r="R53" s="122">
        <f t="shared" si="30"/>
        <v>0</v>
      </c>
      <c r="S53" s="122">
        <f>SUM(S54)</f>
        <v>0</v>
      </c>
      <c r="T53" s="122">
        <f>SUM(T54)</f>
        <v>0</v>
      </c>
      <c r="U53" s="122"/>
      <c r="V53" s="122"/>
      <c r="W53" s="122">
        <f t="shared" ref="W53:AF53" si="31">SUM(W54)</f>
        <v>0</v>
      </c>
      <c r="X53" s="122">
        <f t="shared" si="31"/>
        <v>0</v>
      </c>
      <c r="Y53" s="122">
        <f t="shared" si="31"/>
        <v>0</v>
      </c>
      <c r="Z53" s="122">
        <f t="shared" si="31"/>
        <v>0</v>
      </c>
      <c r="AA53" s="122">
        <f t="shared" si="31"/>
        <v>0</v>
      </c>
      <c r="AB53" s="122">
        <f t="shared" si="31"/>
        <v>0</v>
      </c>
      <c r="AC53" s="122">
        <f t="shared" si="31"/>
        <v>0</v>
      </c>
      <c r="AD53" s="122">
        <f t="shared" si="31"/>
        <v>0</v>
      </c>
      <c r="AE53" s="122">
        <f t="shared" si="31"/>
        <v>0</v>
      </c>
      <c r="AF53" s="122">
        <f t="shared" si="31"/>
        <v>0</v>
      </c>
      <c r="AG53" s="524">
        <f>SUM(AG54)</f>
        <v>0</v>
      </c>
      <c r="AH53" s="524">
        <f>SUM(AH54)</f>
        <v>0</v>
      </c>
      <c r="AI53" s="122">
        <f>SUM(AI54)</f>
        <v>0</v>
      </c>
      <c r="AJ53" s="122">
        <f>SUM(AJ54:AJ54)</f>
        <v>0</v>
      </c>
      <c r="AK53" s="563">
        <v>2336538324</v>
      </c>
      <c r="AL53" s="531"/>
      <c r="AM53" s="531"/>
      <c r="AN53" s="531"/>
      <c r="AO53" s="531"/>
      <c r="AP53" s="531"/>
      <c r="AQ53" s="531"/>
      <c r="AR53" s="531"/>
      <c r="AS53" s="531"/>
      <c r="AT53" s="456"/>
      <c r="AU53" s="455"/>
      <c r="AV53" s="456"/>
      <c r="AW53" s="455"/>
      <c r="AX53" s="456"/>
      <c r="AY53" s="455"/>
      <c r="AZ53" s="455"/>
      <c r="BA53" s="455"/>
      <c r="BB53" s="456"/>
      <c r="BC53" s="455"/>
      <c r="BD53" s="456"/>
      <c r="BE53" s="455"/>
      <c r="BF53" s="457"/>
      <c r="BG53" s="458"/>
      <c r="BH53" s="456"/>
      <c r="BI53" s="455"/>
      <c r="BJ53" s="456"/>
      <c r="BK53" s="455"/>
      <c r="BL53" s="456"/>
      <c r="BM53" s="455"/>
      <c r="BN53" s="456"/>
      <c r="BO53" s="455"/>
      <c r="BP53" s="456"/>
      <c r="BQ53" s="455"/>
      <c r="BR53" s="473"/>
    </row>
    <row r="54" spans="1:70" s="319" customFormat="1" ht="50.1" customHeight="1" x14ac:dyDescent="0.25">
      <c r="A54" s="518"/>
      <c r="B54" s="518" t="s">
        <v>779</v>
      </c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>
        <f>SUM(Q54+M54+K54+I54+G54+E54+O54)</f>
        <v>0</v>
      </c>
      <c r="T54" s="524">
        <f>SUM(R54+N54+L54+J54+H54+F54+P54)</f>
        <v>0</v>
      </c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4">
        <f>SUM(AE54+Y54+AA54+W54+AC54)</f>
        <v>0</v>
      </c>
      <c r="AH54" s="524">
        <f>SUM(AF54+Z54+AB54+X54+AD54)</f>
        <v>0</v>
      </c>
      <c r="AI54" s="524">
        <f>C54+S54-AG54</f>
        <v>0</v>
      </c>
      <c r="AJ54" s="524">
        <f>D54+T54-AH54</f>
        <v>0</v>
      </c>
      <c r="AK54" s="530"/>
      <c r="AL54" s="471"/>
      <c r="AM54" s="471"/>
      <c r="AN54" s="471"/>
      <c r="AO54" s="471"/>
      <c r="AP54" s="471"/>
      <c r="AQ54" s="471"/>
      <c r="AR54" s="531"/>
      <c r="AS54" s="531"/>
      <c r="AT54" s="455"/>
      <c r="AU54" s="455"/>
      <c r="AV54" s="461"/>
      <c r="AW54" s="460"/>
      <c r="AX54" s="456"/>
      <c r="AY54" s="455"/>
      <c r="AZ54" s="455"/>
      <c r="BA54" s="455"/>
      <c r="BB54" s="461"/>
      <c r="BC54" s="460"/>
      <c r="BD54" s="461"/>
      <c r="BE54" s="460"/>
      <c r="BF54" s="461"/>
      <c r="BG54" s="460"/>
      <c r="BH54" s="461"/>
      <c r="BI54" s="460"/>
      <c r="BJ54" s="461"/>
      <c r="BK54" s="460"/>
      <c r="BL54" s="461"/>
      <c r="BM54" s="460"/>
      <c r="BN54" s="456"/>
      <c r="BO54" s="455"/>
      <c r="BP54" s="456"/>
      <c r="BQ54" s="455"/>
      <c r="BR54" s="472"/>
    </row>
    <row r="55" spans="1:70" s="319" customFormat="1" ht="50.1" customHeight="1" x14ac:dyDescent="0.25">
      <c r="A55" s="532"/>
      <c r="B55" s="532"/>
      <c r="C55" s="533"/>
      <c r="D55" s="534"/>
      <c r="E55" s="534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122"/>
      <c r="AK55" s="530">
        <f>SUM(AK56:AK64)</f>
        <v>4889725000</v>
      </c>
      <c r="AL55" s="471"/>
      <c r="AM55" s="471"/>
      <c r="AN55" s="471"/>
      <c r="AO55" s="471"/>
      <c r="AP55" s="471"/>
      <c r="AQ55" s="471"/>
      <c r="AR55" s="471"/>
      <c r="AS55" s="471"/>
      <c r="AT55" s="461"/>
      <c r="AU55" s="452"/>
      <c r="AV55" s="461"/>
      <c r="AW55" s="452"/>
      <c r="AX55" s="461"/>
      <c r="AY55" s="452"/>
      <c r="AZ55" s="452"/>
      <c r="BA55" s="452"/>
      <c r="BB55" s="461"/>
      <c r="BC55" s="452"/>
      <c r="BD55" s="461"/>
      <c r="BE55" s="452"/>
      <c r="BF55" s="461"/>
      <c r="BG55" s="452"/>
      <c r="BH55" s="461"/>
      <c r="BI55" s="452"/>
      <c r="BJ55" s="461"/>
      <c r="BK55" s="452"/>
      <c r="BL55" s="461"/>
      <c r="BM55" s="452"/>
      <c r="BN55" s="461"/>
      <c r="BO55" s="452"/>
      <c r="BP55" s="461"/>
      <c r="BQ55" s="452"/>
      <c r="BR55" s="472"/>
    </row>
    <row r="56" spans="1:70" s="462" customFormat="1" ht="50.1" customHeight="1" x14ac:dyDescent="0.25">
      <c r="A56" s="535"/>
      <c r="B56" s="536" t="s">
        <v>362</v>
      </c>
      <c r="C56" s="537">
        <f>C50+C53</f>
        <v>0</v>
      </c>
      <c r="D56" s="537">
        <f>D50+D53</f>
        <v>0</v>
      </c>
      <c r="E56" s="537">
        <f t="shared" ref="E56:AJ56" si="32">E50+E53</f>
        <v>0</v>
      </c>
      <c r="F56" s="537">
        <f t="shared" si="32"/>
        <v>0</v>
      </c>
      <c r="G56" s="537">
        <f t="shared" si="32"/>
        <v>0</v>
      </c>
      <c r="H56" s="537">
        <f t="shared" si="32"/>
        <v>0</v>
      </c>
      <c r="I56" s="537">
        <f t="shared" si="32"/>
        <v>0</v>
      </c>
      <c r="J56" s="537">
        <f t="shared" si="32"/>
        <v>0</v>
      </c>
      <c r="K56" s="537">
        <f t="shared" si="32"/>
        <v>0</v>
      </c>
      <c r="L56" s="537">
        <f t="shared" si="32"/>
        <v>0</v>
      </c>
      <c r="M56" s="537">
        <f t="shared" si="32"/>
        <v>0</v>
      </c>
      <c r="N56" s="537">
        <f t="shared" si="32"/>
        <v>0</v>
      </c>
      <c r="O56" s="537">
        <f t="shared" si="32"/>
        <v>0</v>
      </c>
      <c r="P56" s="537">
        <f t="shared" si="32"/>
        <v>0</v>
      </c>
      <c r="Q56" s="537">
        <f t="shared" si="32"/>
        <v>0</v>
      </c>
      <c r="R56" s="537">
        <f t="shared" si="32"/>
        <v>0</v>
      </c>
      <c r="S56" s="537">
        <f t="shared" si="32"/>
        <v>0</v>
      </c>
      <c r="T56" s="537">
        <f t="shared" si="32"/>
        <v>0</v>
      </c>
      <c r="U56" s="537">
        <f t="shared" si="32"/>
        <v>0</v>
      </c>
      <c r="V56" s="537">
        <f t="shared" si="32"/>
        <v>0</v>
      </c>
      <c r="W56" s="537">
        <f t="shared" si="32"/>
        <v>0</v>
      </c>
      <c r="X56" s="537">
        <f t="shared" si="32"/>
        <v>0</v>
      </c>
      <c r="Y56" s="537">
        <f t="shared" si="32"/>
        <v>0</v>
      </c>
      <c r="Z56" s="537">
        <f t="shared" si="32"/>
        <v>0</v>
      </c>
      <c r="AA56" s="537">
        <f t="shared" si="32"/>
        <v>0</v>
      </c>
      <c r="AB56" s="537">
        <f t="shared" si="32"/>
        <v>0</v>
      </c>
      <c r="AC56" s="537">
        <f t="shared" si="32"/>
        <v>0</v>
      </c>
      <c r="AD56" s="537">
        <f t="shared" si="32"/>
        <v>0</v>
      </c>
      <c r="AE56" s="537">
        <f t="shared" si="32"/>
        <v>0</v>
      </c>
      <c r="AF56" s="537">
        <f t="shared" si="32"/>
        <v>0</v>
      </c>
      <c r="AG56" s="537">
        <f t="shared" si="32"/>
        <v>0</v>
      </c>
      <c r="AH56" s="537">
        <f t="shared" si="32"/>
        <v>0</v>
      </c>
      <c r="AI56" s="537">
        <f t="shared" si="32"/>
        <v>0</v>
      </c>
      <c r="AJ56" s="537">
        <f t="shared" si="32"/>
        <v>0</v>
      </c>
      <c r="AK56" s="563">
        <v>4889725000</v>
      </c>
      <c r="AL56" s="531"/>
      <c r="AM56" s="531"/>
      <c r="AN56" s="531"/>
      <c r="AO56" s="531"/>
      <c r="AP56" s="531"/>
      <c r="AQ56" s="531"/>
      <c r="AR56" s="531"/>
      <c r="AS56" s="531"/>
      <c r="AT56" s="455"/>
      <c r="AU56" s="455"/>
      <c r="AV56" s="456"/>
      <c r="AW56" s="455"/>
      <c r="AX56" s="456"/>
      <c r="AY56" s="455"/>
      <c r="AZ56" s="455"/>
      <c r="BA56" s="455"/>
      <c r="BB56" s="456"/>
      <c r="BC56" s="455"/>
      <c r="BD56" s="456"/>
      <c r="BE56" s="455"/>
      <c r="BF56" s="456"/>
      <c r="BG56" s="455"/>
      <c r="BH56" s="456"/>
      <c r="BI56" s="455"/>
      <c r="BJ56" s="456"/>
      <c r="BK56" s="455"/>
      <c r="BL56" s="456"/>
      <c r="BM56" s="455"/>
      <c r="BN56" s="456"/>
      <c r="BO56" s="455"/>
      <c r="BP56" s="456"/>
      <c r="BQ56" s="455"/>
      <c r="BR56" s="474"/>
    </row>
    <row r="57" spans="1:70" x14ac:dyDescent="0.25">
      <c r="B57" s="123" t="s">
        <v>363</v>
      </c>
      <c r="C57" s="124"/>
      <c r="D57" s="123"/>
      <c r="E57" s="123"/>
      <c r="F57" s="125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5"/>
      <c r="T57" s="125"/>
      <c r="U57" s="125"/>
      <c r="V57" s="125"/>
      <c r="W57" s="123"/>
      <c r="X57" s="123"/>
      <c r="Y57" s="123"/>
      <c r="AA57" s="123"/>
      <c r="AE57" s="123"/>
      <c r="AG57" s="125"/>
      <c r="AI57" s="468"/>
      <c r="AJ57" s="469"/>
      <c r="AK57" s="470"/>
      <c r="AL57" s="456"/>
      <c r="AM57" s="455"/>
      <c r="AN57" s="456"/>
      <c r="AO57" s="455"/>
      <c r="AP57" s="456"/>
      <c r="AQ57" s="455"/>
      <c r="AR57" s="456"/>
      <c r="AS57" s="455"/>
      <c r="AT57" s="455"/>
      <c r="AU57" s="455"/>
      <c r="AV57" s="456"/>
      <c r="AW57" s="455"/>
      <c r="AX57" s="456"/>
      <c r="AY57" s="455"/>
      <c r="AZ57" s="455"/>
      <c r="BA57" s="455"/>
      <c r="BB57" s="456"/>
      <c r="BC57" s="455"/>
      <c r="BD57" s="456"/>
      <c r="BE57" s="455"/>
      <c r="BF57" s="456"/>
      <c r="BG57" s="455"/>
      <c r="BH57" s="456"/>
      <c r="BI57" s="455"/>
      <c r="BJ57" s="456"/>
      <c r="BK57" s="455"/>
      <c r="BL57" s="456"/>
      <c r="BM57" s="455"/>
      <c r="BN57" s="456"/>
      <c r="BO57" s="455"/>
      <c r="BP57" s="456"/>
      <c r="BQ57" s="455"/>
      <c r="BR57" s="475"/>
    </row>
    <row r="58" spans="1:70" x14ac:dyDescent="0.25">
      <c r="B58" s="123"/>
      <c r="C58" s="124"/>
      <c r="D58" s="123"/>
      <c r="E58" s="123"/>
      <c r="F58" s="125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5"/>
      <c r="T58" s="125"/>
      <c r="U58" s="125"/>
      <c r="V58" s="125"/>
      <c r="W58" s="123"/>
      <c r="X58" s="123"/>
      <c r="Y58" s="123"/>
      <c r="AA58" s="123"/>
      <c r="AE58" s="123"/>
      <c r="AG58" s="125"/>
      <c r="AI58" s="468"/>
      <c r="AJ58" s="456"/>
      <c r="AK58" s="455"/>
      <c r="AL58" s="456"/>
      <c r="AM58" s="455"/>
      <c r="AN58" s="456"/>
      <c r="AO58" s="455"/>
      <c r="AP58" s="456"/>
      <c r="AQ58" s="455"/>
      <c r="AR58" s="456"/>
      <c r="AS58" s="455"/>
      <c r="AT58" s="455"/>
      <c r="AU58" s="455"/>
      <c r="AV58" s="456"/>
      <c r="AW58" s="455"/>
      <c r="AX58" s="456"/>
      <c r="AY58" s="455"/>
      <c r="AZ58" s="455"/>
      <c r="BA58" s="455"/>
      <c r="BB58" s="456"/>
      <c r="BC58" s="455"/>
      <c r="BD58" s="456"/>
      <c r="BE58" s="455"/>
      <c r="BF58" s="456"/>
      <c r="BG58" s="455"/>
      <c r="BH58" s="456"/>
      <c r="BI58" s="455"/>
      <c r="BJ58" s="456"/>
      <c r="BK58" s="455"/>
      <c r="BL58" s="456"/>
      <c r="BM58" s="455"/>
      <c r="BN58" s="456"/>
      <c r="BO58" s="455"/>
      <c r="BP58" s="456"/>
      <c r="BQ58" s="455"/>
      <c r="BR58" s="475"/>
    </row>
    <row r="59" spans="1:70" x14ac:dyDescent="0.25">
      <c r="B59" s="123"/>
      <c r="C59" s="124"/>
      <c r="D59" s="123"/>
      <c r="E59" s="123"/>
      <c r="F59" s="125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5"/>
      <c r="T59" s="125"/>
      <c r="U59" s="125"/>
      <c r="V59" s="125"/>
      <c r="W59" s="123"/>
      <c r="X59" s="123"/>
      <c r="Y59" s="123"/>
      <c r="AA59" s="123"/>
      <c r="AE59" s="123"/>
      <c r="AG59" s="125"/>
      <c r="AI59" s="468"/>
      <c r="AJ59" s="461"/>
      <c r="AK59" s="460"/>
      <c r="AL59" s="461"/>
      <c r="AM59" s="460"/>
      <c r="AN59" s="461"/>
      <c r="AO59" s="460"/>
      <c r="AP59" s="461"/>
      <c r="AQ59" s="460"/>
      <c r="AR59" s="456"/>
      <c r="AS59" s="455"/>
      <c r="AT59" s="455"/>
      <c r="AU59" s="455"/>
      <c r="AV59" s="461"/>
      <c r="AW59" s="460"/>
      <c r="AX59" s="456"/>
      <c r="AY59" s="455"/>
      <c r="AZ59" s="455"/>
      <c r="BA59" s="455"/>
      <c r="BB59" s="461"/>
      <c r="BC59" s="460"/>
      <c r="BD59" s="461"/>
      <c r="BE59" s="460"/>
      <c r="BF59" s="461"/>
      <c r="BG59" s="460"/>
      <c r="BH59" s="461"/>
      <c r="BI59" s="460"/>
      <c r="BJ59" s="461"/>
      <c r="BK59" s="460"/>
      <c r="BL59" s="461"/>
      <c r="BM59" s="460"/>
      <c r="BN59" s="456"/>
      <c r="BO59" s="455"/>
      <c r="BP59" s="456"/>
      <c r="BQ59" s="455"/>
      <c r="BR59" s="475"/>
    </row>
    <row r="60" spans="1:70" x14ac:dyDescent="0.25">
      <c r="B60" s="123"/>
      <c r="C60" s="124"/>
      <c r="D60" s="123"/>
      <c r="E60" s="123"/>
      <c r="F60" s="125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5"/>
      <c r="T60" s="125"/>
      <c r="U60" s="125"/>
      <c r="V60" s="125"/>
      <c r="W60" s="123"/>
      <c r="X60" s="123"/>
      <c r="Y60" s="123"/>
      <c r="AA60" s="123"/>
      <c r="AE60" s="123"/>
      <c r="AG60" s="125"/>
      <c r="AI60" s="468"/>
      <c r="AJ60" s="471"/>
      <c r="AK60" s="452"/>
      <c r="AL60" s="471"/>
      <c r="AM60" s="452"/>
      <c r="AN60" s="471"/>
      <c r="AO60" s="452"/>
      <c r="AP60" s="471"/>
      <c r="AQ60" s="452"/>
      <c r="AR60" s="471"/>
      <c r="AS60" s="452"/>
      <c r="AT60" s="471"/>
      <c r="AU60" s="452"/>
      <c r="AV60" s="471"/>
      <c r="AW60" s="452"/>
      <c r="AX60" s="471"/>
      <c r="AY60" s="452"/>
      <c r="AZ60" s="452"/>
      <c r="BA60" s="452"/>
      <c r="BB60" s="471"/>
      <c r="BC60" s="452"/>
      <c r="BD60" s="471"/>
      <c r="BE60" s="452"/>
      <c r="BF60" s="471"/>
      <c r="BG60" s="452"/>
      <c r="BH60" s="471"/>
      <c r="BI60" s="452"/>
      <c r="BJ60" s="471"/>
      <c r="BK60" s="452"/>
      <c r="BL60" s="471"/>
      <c r="BM60" s="452"/>
      <c r="BN60" s="471"/>
      <c r="BO60" s="452"/>
      <c r="BP60" s="471"/>
      <c r="BQ60" s="452"/>
      <c r="BR60" s="475"/>
    </row>
    <row r="61" spans="1:70" x14ac:dyDescent="0.25">
      <c r="B61" s="123"/>
      <c r="C61" s="124"/>
      <c r="D61" s="123"/>
      <c r="E61" s="123"/>
      <c r="F61" s="125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5"/>
      <c r="T61" s="125"/>
      <c r="U61" s="125"/>
      <c r="V61" s="125"/>
      <c r="W61" s="123"/>
      <c r="X61" s="123"/>
      <c r="Y61" s="123"/>
      <c r="AA61" s="123"/>
      <c r="AE61" s="123"/>
      <c r="AG61" s="125"/>
      <c r="AI61" s="468"/>
      <c r="AJ61" s="456"/>
      <c r="AK61" s="455"/>
      <c r="AL61" s="456"/>
      <c r="AM61" s="455"/>
      <c r="AN61" s="456"/>
      <c r="AO61" s="455"/>
      <c r="AP61" s="456"/>
      <c r="AQ61" s="455"/>
      <c r="AR61" s="456"/>
      <c r="AS61" s="455"/>
      <c r="AT61" s="455"/>
      <c r="AU61" s="455"/>
      <c r="AV61" s="456"/>
      <c r="AW61" s="455"/>
      <c r="AX61" s="456"/>
      <c r="AY61" s="455"/>
      <c r="AZ61" s="455"/>
      <c r="BA61" s="455"/>
      <c r="BB61" s="456"/>
      <c r="BC61" s="455"/>
      <c r="BD61" s="456"/>
      <c r="BE61" s="455"/>
      <c r="BF61" s="456"/>
      <c r="BG61" s="455"/>
      <c r="BH61" s="456"/>
      <c r="BI61" s="455"/>
      <c r="BJ61" s="456"/>
      <c r="BK61" s="455"/>
      <c r="BL61" s="456"/>
      <c r="BM61" s="455"/>
      <c r="BN61" s="456"/>
      <c r="BO61" s="455"/>
      <c r="BP61" s="456"/>
      <c r="BQ61" s="455"/>
      <c r="BR61" s="475"/>
    </row>
    <row r="62" spans="1:70" x14ac:dyDescent="0.25">
      <c r="B62" s="123"/>
      <c r="C62" s="124"/>
      <c r="D62" s="123"/>
      <c r="E62" s="123"/>
      <c r="F62" s="125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5"/>
      <c r="T62" s="125"/>
      <c r="U62" s="125"/>
      <c r="V62" s="125"/>
      <c r="W62" s="123"/>
      <c r="X62" s="123"/>
      <c r="Y62" s="123"/>
      <c r="AA62" s="123"/>
      <c r="AE62" s="123"/>
      <c r="AG62" s="125"/>
      <c r="AI62" s="468"/>
      <c r="AJ62" s="456"/>
      <c r="AK62" s="455"/>
      <c r="AL62" s="456"/>
      <c r="AM62" s="455"/>
      <c r="AN62" s="456"/>
      <c r="AO62" s="455"/>
      <c r="AP62" s="456"/>
      <c r="AQ62" s="455"/>
      <c r="AR62" s="456"/>
      <c r="AS62" s="455"/>
      <c r="AT62" s="455"/>
      <c r="AU62" s="455"/>
      <c r="AV62" s="456"/>
      <c r="AW62" s="455"/>
      <c r="AX62" s="456"/>
      <c r="AY62" s="455"/>
      <c r="AZ62" s="455"/>
      <c r="BA62" s="455"/>
      <c r="BB62" s="456"/>
      <c r="BC62" s="455"/>
      <c r="BD62" s="456"/>
      <c r="BE62" s="455"/>
      <c r="BF62" s="456"/>
      <c r="BG62" s="455"/>
      <c r="BH62" s="456"/>
      <c r="BI62" s="455"/>
      <c r="BJ62" s="456"/>
      <c r="BK62" s="455"/>
      <c r="BL62" s="456"/>
      <c r="BM62" s="455"/>
      <c r="BN62" s="456"/>
      <c r="BO62" s="455"/>
      <c r="BP62" s="456"/>
      <c r="BQ62" s="455"/>
      <c r="BR62" s="475"/>
    </row>
    <row r="63" spans="1:70" x14ac:dyDescent="0.25">
      <c r="B63" s="123"/>
      <c r="C63" s="124"/>
      <c r="D63" s="123"/>
      <c r="E63" s="123"/>
      <c r="F63" s="125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5"/>
      <c r="T63" s="125"/>
      <c r="U63" s="125"/>
      <c r="V63" s="125"/>
      <c r="W63" s="123"/>
      <c r="X63" s="123"/>
      <c r="Y63" s="123"/>
      <c r="AA63" s="123"/>
      <c r="AE63" s="123"/>
      <c r="AG63" s="125"/>
      <c r="AI63" s="468"/>
      <c r="AJ63" s="456"/>
      <c r="AK63" s="455"/>
      <c r="AL63" s="456"/>
      <c r="AM63" s="455"/>
      <c r="AN63" s="456"/>
      <c r="AO63" s="455"/>
      <c r="AP63" s="456"/>
      <c r="AQ63" s="455"/>
      <c r="AR63" s="456"/>
      <c r="AS63" s="455"/>
      <c r="AT63" s="455"/>
      <c r="AU63" s="455"/>
      <c r="AV63" s="456"/>
      <c r="AW63" s="455"/>
      <c r="AX63" s="456"/>
      <c r="AY63" s="455"/>
      <c r="AZ63" s="455"/>
      <c r="BA63" s="455"/>
      <c r="BB63" s="456"/>
      <c r="BC63" s="455"/>
      <c r="BD63" s="456"/>
      <c r="BE63" s="455"/>
      <c r="BF63" s="456"/>
      <c r="BG63" s="455"/>
      <c r="BH63" s="456"/>
      <c r="BI63" s="455"/>
      <c r="BJ63" s="456"/>
      <c r="BK63" s="455"/>
      <c r="BL63" s="456"/>
      <c r="BM63" s="455"/>
      <c r="BN63" s="456"/>
      <c r="BO63" s="455"/>
      <c r="BP63" s="456"/>
      <c r="BQ63" s="455"/>
      <c r="BR63" s="475"/>
    </row>
    <row r="64" spans="1:70" x14ac:dyDescent="0.25">
      <c r="B64" s="123"/>
      <c r="C64" s="124"/>
      <c r="D64" s="123"/>
      <c r="E64" s="123"/>
      <c r="F64" s="125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5"/>
      <c r="T64" s="125"/>
      <c r="U64" s="125"/>
      <c r="V64" s="125"/>
      <c r="W64" s="123"/>
      <c r="X64" s="123"/>
      <c r="Y64" s="123"/>
      <c r="AA64" s="123"/>
      <c r="AE64" s="123"/>
      <c r="AG64" s="125"/>
      <c r="AI64" s="468"/>
      <c r="AJ64" s="461"/>
      <c r="AK64" s="460"/>
      <c r="AL64" s="461"/>
      <c r="AM64" s="460"/>
      <c r="AN64" s="461"/>
      <c r="AO64" s="460"/>
      <c r="AP64" s="461"/>
      <c r="AQ64" s="460"/>
      <c r="AR64" s="456"/>
      <c r="AS64" s="455"/>
      <c r="AT64" s="455"/>
      <c r="AU64" s="455"/>
      <c r="AV64" s="461"/>
      <c r="AW64" s="460"/>
      <c r="AX64" s="456"/>
      <c r="AY64" s="455"/>
      <c r="AZ64" s="455"/>
      <c r="BA64" s="455"/>
      <c r="BB64" s="461"/>
      <c r="BC64" s="460"/>
      <c r="BD64" s="461"/>
      <c r="BE64" s="460"/>
      <c r="BF64" s="461"/>
      <c r="BG64" s="460"/>
      <c r="BH64" s="461"/>
      <c r="BI64" s="460"/>
      <c r="BJ64" s="461"/>
      <c r="BK64" s="460"/>
      <c r="BL64" s="461"/>
      <c r="BM64" s="460"/>
      <c r="BN64" s="456"/>
      <c r="BO64" s="455"/>
      <c r="BP64" s="456"/>
      <c r="BQ64" s="455"/>
      <c r="BR64" s="475"/>
    </row>
    <row r="65" spans="2:70" x14ac:dyDescent="0.25">
      <c r="B65" s="123"/>
      <c r="C65" s="124"/>
      <c r="D65" s="123"/>
      <c r="E65" s="123"/>
      <c r="F65" s="125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5"/>
      <c r="T65" s="125"/>
      <c r="U65" s="125"/>
      <c r="V65" s="125"/>
      <c r="W65" s="123"/>
      <c r="X65" s="123"/>
      <c r="Y65" s="123"/>
      <c r="AA65" s="123"/>
      <c r="AE65" s="123"/>
      <c r="AG65" s="125"/>
      <c r="AI65" s="468"/>
      <c r="AJ65" s="461">
        <f>SUM(AJ66)</f>
        <v>0</v>
      </c>
      <c r="AK65" s="452">
        <f>SUM(AK66)</f>
        <v>0</v>
      </c>
      <c r="AL65" s="461"/>
      <c r="AM65" s="452"/>
      <c r="AN65" s="461"/>
      <c r="AO65" s="452"/>
      <c r="AP65" s="461"/>
      <c r="AQ65" s="452"/>
      <c r="AR65" s="461"/>
      <c r="AS65" s="452"/>
      <c r="AT65" s="461"/>
      <c r="AU65" s="452"/>
      <c r="AV65" s="461"/>
      <c r="AW65" s="452"/>
      <c r="AX65" s="461"/>
      <c r="AY65" s="452"/>
      <c r="AZ65" s="452"/>
      <c r="BA65" s="452"/>
      <c r="BB65" s="461"/>
      <c r="BC65" s="452"/>
      <c r="BD65" s="461"/>
      <c r="BE65" s="452"/>
      <c r="BF65" s="461"/>
      <c r="BG65" s="452"/>
      <c r="BH65" s="461"/>
      <c r="BI65" s="452"/>
      <c r="BJ65" s="461"/>
      <c r="BK65" s="452"/>
      <c r="BL65" s="461"/>
      <c r="BM65" s="452"/>
      <c r="BN65" s="461"/>
      <c r="BO65" s="452"/>
      <c r="BP65" s="461"/>
      <c r="BQ65" s="452"/>
      <c r="BR65" s="475"/>
    </row>
    <row r="66" spans="2:70" x14ac:dyDescent="0.25">
      <c r="B66" s="123"/>
      <c r="C66" s="124"/>
      <c r="D66" s="123"/>
      <c r="E66" s="123"/>
      <c r="F66" s="125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5"/>
      <c r="T66" s="125"/>
      <c r="U66" s="125"/>
      <c r="V66" s="125"/>
      <c r="W66" s="123"/>
      <c r="X66" s="123"/>
      <c r="Y66" s="123"/>
      <c r="AA66" s="123"/>
      <c r="AE66" s="123"/>
      <c r="AG66" s="125"/>
      <c r="AI66" s="468"/>
      <c r="AJ66" s="456"/>
      <c r="AK66" s="455"/>
      <c r="AL66" s="456"/>
      <c r="AM66" s="455"/>
      <c r="AN66" s="456"/>
      <c r="AO66" s="455"/>
      <c r="AP66" s="456"/>
      <c r="AQ66" s="455"/>
      <c r="AR66" s="456"/>
      <c r="AS66" s="455"/>
      <c r="AT66" s="455"/>
      <c r="AU66" s="455"/>
      <c r="AV66" s="456"/>
      <c r="AW66" s="455"/>
      <c r="AX66" s="456"/>
      <c r="AY66" s="455"/>
      <c r="AZ66" s="455"/>
      <c r="BA66" s="455"/>
      <c r="BB66" s="456"/>
      <c r="BC66" s="455"/>
      <c r="BD66" s="456"/>
      <c r="BE66" s="455"/>
      <c r="BF66" s="456"/>
      <c r="BG66" s="455"/>
      <c r="BH66" s="456"/>
      <c r="BI66" s="455"/>
      <c r="BJ66" s="456"/>
      <c r="BK66" s="455"/>
      <c r="BL66" s="456"/>
      <c r="BM66" s="455"/>
      <c r="BN66" s="456"/>
      <c r="BO66" s="455"/>
      <c r="BP66" s="456"/>
      <c r="BQ66" s="455"/>
      <c r="BR66" s="475"/>
    </row>
    <row r="67" spans="2:70" x14ac:dyDescent="0.25">
      <c r="B67" s="123"/>
      <c r="C67" s="124"/>
      <c r="D67" s="123"/>
      <c r="E67" s="123"/>
      <c r="F67" s="125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5"/>
      <c r="T67" s="125"/>
      <c r="U67" s="125"/>
      <c r="V67" s="125"/>
      <c r="W67" s="123"/>
      <c r="X67" s="123"/>
      <c r="Y67" s="123"/>
      <c r="AA67" s="123"/>
      <c r="AE67" s="123"/>
      <c r="AG67" s="125"/>
      <c r="AI67" s="123"/>
      <c r="AL67" s="475"/>
      <c r="AM67" s="476"/>
      <c r="AN67" s="477"/>
      <c r="AO67" s="477"/>
      <c r="AP67" s="478"/>
      <c r="AQ67" s="477"/>
      <c r="AR67" s="477"/>
      <c r="AS67" s="477"/>
      <c r="AT67" s="475"/>
      <c r="AU67" s="475"/>
      <c r="AV67" s="475"/>
      <c r="AW67" s="475"/>
      <c r="AX67" s="475"/>
      <c r="AY67" s="475"/>
      <c r="AZ67" s="475"/>
      <c r="BA67" s="475"/>
      <c r="BB67" s="475"/>
      <c r="BC67" s="475"/>
      <c r="BD67" s="475"/>
      <c r="BE67" s="475"/>
      <c r="BF67" s="475"/>
      <c r="BG67" s="475"/>
      <c r="BH67" s="475"/>
      <c r="BI67" s="475"/>
      <c r="BJ67" s="475"/>
      <c r="BK67" s="475"/>
      <c r="BL67" s="475"/>
      <c r="BM67" s="475"/>
      <c r="BN67" s="475"/>
      <c r="BO67" s="475"/>
      <c r="BP67" s="475"/>
      <c r="BQ67" s="475"/>
      <c r="BR67" s="475"/>
    </row>
    <row r="68" spans="2:70" x14ac:dyDescent="0.25">
      <c r="B68" s="123"/>
      <c r="C68" s="124"/>
      <c r="D68" s="123"/>
      <c r="E68" s="123"/>
      <c r="F68" s="125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5"/>
      <c r="T68" s="125"/>
      <c r="U68" s="125"/>
      <c r="V68" s="125"/>
      <c r="W68" s="123"/>
      <c r="X68" s="123"/>
      <c r="Y68" s="123"/>
      <c r="AA68" s="123"/>
      <c r="AE68" s="123"/>
      <c r="AG68" s="125"/>
      <c r="AI68" s="123"/>
    </row>
    <row r="69" spans="2:70" x14ac:dyDescent="0.25">
      <c r="B69" s="123"/>
      <c r="C69" s="124"/>
      <c r="D69" s="123"/>
      <c r="E69" s="123"/>
      <c r="F69" s="125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5"/>
      <c r="T69" s="125"/>
      <c r="U69" s="125"/>
      <c r="V69" s="125"/>
      <c r="W69" s="123"/>
      <c r="X69" s="123"/>
      <c r="Y69" s="123"/>
      <c r="AA69" s="123"/>
      <c r="AE69" s="123"/>
      <c r="AG69" s="125"/>
      <c r="AI69" s="123"/>
    </row>
    <row r="70" spans="2:70" x14ac:dyDescent="0.25">
      <c r="B70" s="123"/>
      <c r="C70" s="124"/>
      <c r="D70" s="123"/>
      <c r="E70" s="123"/>
      <c r="F70" s="125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5"/>
      <c r="T70" s="125"/>
      <c r="U70" s="125"/>
      <c r="V70" s="125"/>
      <c r="W70" s="123"/>
      <c r="X70" s="123"/>
      <c r="Y70" s="123"/>
      <c r="AA70" s="123"/>
      <c r="AE70" s="123"/>
      <c r="AG70" s="125"/>
      <c r="AI70" s="123"/>
    </row>
  </sheetData>
  <sheetProtection algorithmName="SHA-512" hashValue="l0HJXcak9v801RAV9WauwpEpZuLwqDoDpPg9S2l7UctSeXDvnp+aQaUKW4d9e4vuNrBjg5gmS4b69+dfRE5ZiA==" saltValue="f0lpWHstcfOZtAyF9x4ksQ==" spinCount="100000" sheet="1" objects="1" scenarios="1"/>
  <mergeCells count="98">
    <mergeCell ref="M49:N49"/>
    <mergeCell ref="AI49:AJ49"/>
    <mergeCell ref="O49:P49"/>
    <mergeCell ref="Q49:R49"/>
    <mergeCell ref="S49:T49"/>
    <mergeCell ref="W49:X49"/>
    <mergeCell ref="Y49:Z49"/>
    <mergeCell ref="AA49:AB49"/>
    <mergeCell ref="AG49:AH49"/>
    <mergeCell ref="AC49:AD49"/>
    <mergeCell ref="AE49:AF49"/>
    <mergeCell ref="C49:D49"/>
    <mergeCell ref="E49:F49"/>
    <mergeCell ref="G49:H49"/>
    <mergeCell ref="I49:J49"/>
    <mergeCell ref="K49:L49"/>
    <mergeCell ref="F46:T46"/>
    <mergeCell ref="W46:AH46"/>
    <mergeCell ref="AH47:AH48"/>
    <mergeCell ref="AR47:AS47"/>
    <mergeCell ref="AL48:AM48"/>
    <mergeCell ref="AO48:AP48"/>
    <mergeCell ref="AF47:AF48"/>
    <mergeCell ref="AG47:AG48"/>
    <mergeCell ref="AJ46:AJ48"/>
    <mergeCell ref="T47:T48"/>
    <mergeCell ref="W47:W48"/>
    <mergeCell ref="S47:S48"/>
    <mergeCell ref="A46:A48"/>
    <mergeCell ref="B46:B48"/>
    <mergeCell ref="C46:C48"/>
    <mergeCell ref="D46:D48"/>
    <mergeCell ref="E46:E48"/>
    <mergeCell ref="A44:AJ44"/>
    <mergeCell ref="G47:G48"/>
    <mergeCell ref="X47:X48"/>
    <mergeCell ref="H47:H48"/>
    <mergeCell ref="I47:I48"/>
    <mergeCell ref="J47:J48"/>
    <mergeCell ref="K47:K48"/>
    <mergeCell ref="L47:L48"/>
    <mergeCell ref="M47:P47"/>
    <mergeCell ref="Q47:Q48"/>
    <mergeCell ref="R47:R48"/>
    <mergeCell ref="A45:AJ45"/>
    <mergeCell ref="Y47:Y48"/>
    <mergeCell ref="Z47:Z48"/>
    <mergeCell ref="AA47:AD47"/>
    <mergeCell ref="AE47:AE48"/>
    <mergeCell ref="Y8:Z8"/>
    <mergeCell ref="C8:D8"/>
    <mergeCell ref="E8:F8"/>
    <mergeCell ref="G8:H8"/>
    <mergeCell ref="AI8:AJ8"/>
    <mergeCell ref="I8:J8"/>
    <mergeCell ref="K8:L8"/>
    <mergeCell ref="AA8:AB8"/>
    <mergeCell ref="AC8:AD8"/>
    <mergeCell ref="AE8:AF8"/>
    <mergeCell ref="M8:N8"/>
    <mergeCell ref="O8:P8"/>
    <mergeCell ref="Q8:R8"/>
    <mergeCell ref="S8:T8"/>
    <mergeCell ref="W8:X8"/>
    <mergeCell ref="AG8:AH8"/>
    <mergeCell ref="AG6:AG7"/>
    <mergeCell ref="AH6:AH7"/>
    <mergeCell ref="AR6:AS6"/>
    <mergeCell ref="AL7:AM7"/>
    <mergeCell ref="AO7:AP7"/>
    <mergeCell ref="AF6:AF7"/>
    <mergeCell ref="M6:P6"/>
    <mergeCell ref="Q6:Q7"/>
    <mergeCell ref="R6:R7"/>
    <mergeCell ref="L6:L7"/>
    <mergeCell ref="S6:S7"/>
    <mergeCell ref="T6:T7"/>
    <mergeCell ref="W6:W7"/>
    <mergeCell ref="X6:X7"/>
    <mergeCell ref="Y6:Y7"/>
    <mergeCell ref="AA6:AD6"/>
    <mergeCell ref="AE6:AE7"/>
    <mergeCell ref="A1:AJ1"/>
    <mergeCell ref="A2:AJ2"/>
    <mergeCell ref="A5:A7"/>
    <mergeCell ref="B5:B7"/>
    <mergeCell ref="C5:C7"/>
    <mergeCell ref="D5:D7"/>
    <mergeCell ref="E5:E7"/>
    <mergeCell ref="F5:T5"/>
    <mergeCell ref="W5:AH5"/>
    <mergeCell ref="Z6:Z7"/>
    <mergeCell ref="AJ5:AJ7"/>
    <mergeCell ref="G6:G7"/>
    <mergeCell ref="H6:H7"/>
    <mergeCell ref="I6:I7"/>
    <mergeCell ref="J6:J7"/>
    <mergeCell ref="K6:K7"/>
  </mergeCells>
  <printOptions horizontalCentered="1"/>
  <pageMargins left="0.15748031496062992" right="0.15748031496062992" top="0.74803149606299213" bottom="0.35433070866141736" header="0.31496062992125984" footer="0.31496062992125984"/>
  <pageSetup paperSize="258" scale="2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G56"/>
  <sheetViews>
    <sheetView topLeftCell="A4" zoomScale="55" zoomScaleNormal="55" zoomScaleSheetLayoutView="70" workbookViewId="0">
      <pane xSplit="2" ySplit="6" topLeftCell="AA10" activePane="bottomRight" state="frozen"/>
      <selection activeCell="A4" sqref="A4"/>
      <selection pane="topRight" activeCell="C4" sqref="C4"/>
      <selection pane="bottomLeft" activeCell="A10" sqref="A10"/>
      <selection pane="bottomRight" activeCell="AC38" sqref="AC38"/>
    </sheetView>
  </sheetViews>
  <sheetFormatPr defaultColWidth="9.140625" defaultRowHeight="11.25" x14ac:dyDescent="0.25"/>
  <cols>
    <col min="1" max="1" width="7.140625" style="128" customWidth="1"/>
    <col min="2" max="2" width="55.140625" style="128" customWidth="1"/>
    <col min="3" max="3" width="12.28515625" style="128" customWidth="1"/>
    <col min="4" max="4" width="28.7109375" style="128" customWidth="1"/>
    <col min="5" max="5" width="11.28515625" style="128" customWidth="1"/>
    <col min="6" max="6" width="28.7109375" style="128" customWidth="1"/>
    <col min="7" max="7" width="10.42578125" style="128" customWidth="1"/>
    <col min="8" max="8" width="28.7109375" style="128" customWidth="1"/>
    <col min="9" max="9" width="10.42578125" style="128" customWidth="1"/>
    <col min="10" max="10" width="21" style="128" customWidth="1"/>
    <col min="11" max="11" width="10.42578125" style="128" customWidth="1"/>
    <col min="12" max="12" width="26.28515625" style="128" bestFit="1" customWidth="1"/>
    <col min="13" max="13" width="6.5703125" style="128" bestFit="1" customWidth="1"/>
    <col min="14" max="14" width="26.28515625" style="128" customWidth="1"/>
    <col min="15" max="15" width="10.42578125" style="128" customWidth="1"/>
    <col min="16" max="16" width="23.42578125" style="128" bestFit="1" customWidth="1"/>
    <col min="17" max="18" width="20.5703125" style="128" customWidth="1"/>
    <col min="19" max="19" width="10.42578125" style="128" customWidth="1"/>
    <col min="20" max="20" width="20.5703125" style="128" customWidth="1"/>
    <col min="21" max="21" width="6.5703125" style="128" bestFit="1" customWidth="1"/>
    <col min="22" max="22" width="6.28515625" style="128" bestFit="1" customWidth="1"/>
    <col min="23" max="23" width="6.5703125" style="128" bestFit="1" customWidth="1"/>
    <col min="24" max="24" width="13.28515625" style="128" bestFit="1" customWidth="1"/>
    <col min="25" max="25" width="10.42578125" style="128" customWidth="1"/>
    <col min="26" max="26" width="20.5703125" style="128" customWidth="1"/>
    <col min="27" max="27" width="6.5703125" style="128" bestFit="1" customWidth="1"/>
    <col min="28" max="28" width="20.5703125" style="128" customWidth="1"/>
    <col min="29" max="29" width="10.42578125" style="128" customWidth="1"/>
    <col min="30" max="30" width="20.5703125" style="128" customWidth="1"/>
    <col min="31" max="31" width="10.42578125" style="128" customWidth="1"/>
    <col min="32" max="32" width="22.5703125" style="128" customWidth="1"/>
    <col min="33" max="16384" width="9.140625" style="128"/>
  </cols>
  <sheetData>
    <row r="1" spans="1:33" ht="24" customHeight="1" x14ac:dyDescent="0.25">
      <c r="A1" s="761" t="s">
        <v>243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</row>
    <row r="2" spans="1:33" ht="24" customHeight="1" x14ac:dyDescent="0.25">
      <c r="A2" s="761" t="s">
        <v>364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</row>
    <row r="3" spans="1:33" ht="21.75" customHeight="1" x14ac:dyDescent="0.25">
      <c r="A3" s="762" t="s">
        <v>848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</row>
    <row r="4" spans="1:33" ht="23.25" x14ac:dyDescent="0.25">
      <c r="A4" s="129"/>
      <c r="B4" s="129"/>
      <c r="C4" s="130"/>
      <c r="D4" s="130"/>
      <c r="E4" s="130"/>
      <c r="F4" s="159"/>
      <c r="G4" s="130"/>
      <c r="H4" s="130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</row>
    <row r="5" spans="1:33" ht="18" x14ac:dyDescent="0.25">
      <c r="A5" s="131" t="s">
        <v>1147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</row>
    <row r="6" spans="1:33" s="155" customFormat="1" ht="20.25" customHeight="1" x14ac:dyDescent="0.25">
      <c r="A6" s="763" t="s">
        <v>22</v>
      </c>
      <c r="B6" s="763" t="s">
        <v>329</v>
      </c>
      <c r="C6" s="766" t="s">
        <v>330</v>
      </c>
      <c r="D6" s="766" t="s">
        <v>845</v>
      </c>
      <c r="E6" s="769" t="s">
        <v>365</v>
      </c>
      <c r="F6" s="770"/>
      <c r="G6" s="770"/>
      <c r="H6" s="770"/>
      <c r="I6" s="763" t="s">
        <v>330</v>
      </c>
      <c r="J6" s="763" t="s">
        <v>337</v>
      </c>
      <c r="K6" s="771" t="s">
        <v>786</v>
      </c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71"/>
      <c r="W6" s="771"/>
      <c r="X6" s="771"/>
      <c r="Y6" s="771"/>
      <c r="Z6" s="771"/>
      <c r="AA6" s="771"/>
      <c r="AB6" s="771"/>
      <c r="AC6" s="763" t="s">
        <v>330</v>
      </c>
      <c r="AD6" s="763" t="s">
        <v>341</v>
      </c>
      <c r="AE6" s="763" t="s">
        <v>330</v>
      </c>
      <c r="AF6" s="763" t="s">
        <v>847</v>
      </c>
    </row>
    <row r="7" spans="1:33" s="155" customFormat="1" ht="32.25" customHeight="1" x14ac:dyDescent="0.25">
      <c r="A7" s="764"/>
      <c r="B7" s="764"/>
      <c r="C7" s="767"/>
      <c r="D7" s="767"/>
      <c r="E7" s="766" t="s">
        <v>330</v>
      </c>
      <c r="F7" s="766" t="s">
        <v>822</v>
      </c>
      <c r="G7" s="766" t="s">
        <v>330</v>
      </c>
      <c r="H7" s="766" t="s">
        <v>781</v>
      </c>
      <c r="I7" s="764"/>
      <c r="J7" s="764"/>
      <c r="K7" s="771" t="s">
        <v>782</v>
      </c>
      <c r="L7" s="771"/>
      <c r="M7" s="771"/>
      <c r="N7" s="771"/>
      <c r="O7" s="771"/>
      <c r="P7" s="771"/>
      <c r="Q7" s="771"/>
      <c r="R7" s="771"/>
      <c r="S7" s="771" t="s">
        <v>338</v>
      </c>
      <c r="T7" s="771"/>
      <c r="U7" s="771"/>
      <c r="V7" s="771"/>
      <c r="W7" s="771"/>
      <c r="X7" s="771"/>
      <c r="Y7" s="771"/>
      <c r="Z7" s="771"/>
      <c r="AA7" s="771"/>
      <c r="AB7" s="771"/>
      <c r="AC7" s="764"/>
      <c r="AD7" s="764"/>
      <c r="AE7" s="764"/>
      <c r="AF7" s="764"/>
    </row>
    <row r="8" spans="1:33" s="155" customFormat="1" ht="62.25" customHeight="1" x14ac:dyDescent="0.25">
      <c r="A8" s="765"/>
      <c r="B8" s="765"/>
      <c r="C8" s="768"/>
      <c r="D8" s="768"/>
      <c r="E8" s="768"/>
      <c r="F8" s="768"/>
      <c r="G8" s="768"/>
      <c r="H8" s="768"/>
      <c r="I8" s="765"/>
      <c r="J8" s="765"/>
      <c r="K8" s="132" t="s">
        <v>330</v>
      </c>
      <c r="L8" s="132" t="s">
        <v>823</v>
      </c>
      <c r="M8" s="132" t="s">
        <v>330</v>
      </c>
      <c r="N8" s="132" t="s">
        <v>781</v>
      </c>
      <c r="O8" s="132" t="s">
        <v>330</v>
      </c>
      <c r="P8" s="132" t="s">
        <v>187</v>
      </c>
      <c r="Q8" s="132" t="s">
        <v>330</v>
      </c>
      <c r="R8" s="132" t="s">
        <v>825</v>
      </c>
      <c r="S8" s="132" t="s">
        <v>330</v>
      </c>
      <c r="T8" s="132" t="s">
        <v>783</v>
      </c>
      <c r="U8" s="132" t="s">
        <v>330</v>
      </c>
      <c r="V8" s="132" t="s">
        <v>667</v>
      </c>
      <c r="W8" s="132" t="s">
        <v>330</v>
      </c>
      <c r="X8" s="132" t="s">
        <v>784</v>
      </c>
      <c r="Y8" s="132" t="s">
        <v>330</v>
      </c>
      <c r="Z8" s="132" t="s">
        <v>785</v>
      </c>
      <c r="AA8" s="132" t="s">
        <v>330</v>
      </c>
      <c r="AB8" s="132" t="s">
        <v>826</v>
      </c>
      <c r="AC8" s="765"/>
      <c r="AD8" s="765"/>
      <c r="AE8" s="765"/>
      <c r="AF8" s="765"/>
    </row>
    <row r="9" spans="1:33" s="156" customFormat="1" ht="21.75" customHeight="1" x14ac:dyDescent="0.25">
      <c r="A9" s="152">
        <v>1</v>
      </c>
      <c r="B9" s="152">
        <v>2</v>
      </c>
      <c r="C9" s="772">
        <v>3</v>
      </c>
      <c r="D9" s="773"/>
      <c r="E9" s="772">
        <v>4</v>
      </c>
      <c r="F9" s="773"/>
      <c r="G9" s="772">
        <v>5</v>
      </c>
      <c r="H9" s="773"/>
      <c r="I9" s="772">
        <v>6</v>
      </c>
      <c r="J9" s="773"/>
      <c r="K9" s="772">
        <v>7</v>
      </c>
      <c r="L9" s="773"/>
      <c r="M9" s="772">
        <v>8</v>
      </c>
      <c r="N9" s="773"/>
      <c r="O9" s="772">
        <v>9</v>
      </c>
      <c r="P9" s="773"/>
      <c r="Q9" s="772">
        <v>10</v>
      </c>
      <c r="R9" s="773"/>
      <c r="S9" s="772">
        <v>11</v>
      </c>
      <c r="T9" s="773"/>
      <c r="U9" s="772">
        <v>12</v>
      </c>
      <c r="V9" s="773"/>
      <c r="W9" s="772">
        <v>13</v>
      </c>
      <c r="X9" s="773"/>
      <c r="Y9" s="772">
        <v>14</v>
      </c>
      <c r="Z9" s="773"/>
      <c r="AA9" s="772">
        <v>15</v>
      </c>
      <c r="AB9" s="773"/>
      <c r="AC9" s="772">
        <v>16</v>
      </c>
      <c r="AD9" s="773"/>
      <c r="AE9" s="772">
        <v>17</v>
      </c>
      <c r="AF9" s="773"/>
    </row>
    <row r="10" spans="1:33" s="158" customFormat="1" ht="37.5" customHeight="1" x14ac:dyDescent="0.25">
      <c r="A10" s="133"/>
      <c r="B10" s="133"/>
      <c r="C10" s="133"/>
      <c r="D10" s="133"/>
      <c r="E10" s="133"/>
      <c r="F10" s="133"/>
      <c r="G10" s="133"/>
      <c r="H10" s="133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384"/>
    </row>
    <row r="11" spans="1:33" s="138" customFormat="1" ht="37.5" customHeight="1" x14ac:dyDescent="0.25">
      <c r="A11" s="136" t="s">
        <v>321</v>
      </c>
      <c r="B11" s="137" t="s">
        <v>343</v>
      </c>
      <c r="C11" s="134">
        <f t="shared" ref="C11:AF11" si="0">SUM(C12)</f>
        <v>0</v>
      </c>
      <c r="D11" s="134">
        <f t="shared" si="0"/>
        <v>0</v>
      </c>
      <c r="E11" s="134">
        <f t="shared" si="0"/>
        <v>0</v>
      </c>
      <c r="F11" s="135">
        <f t="shared" si="0"/>
        <v>0</v>
      </c>
      <c r="G11" s="134">
        <f t="shared" si="0"/>
        <v>0</v>
      </c>
      <c r="H11" s="135">
        <f t="shared" si="0"/>
        <v>0</v>
      </c>
      <c r="I11" s="134">
        <f t="shared" si="0"/>
        <v>0</v>
      </c>
      <c r="J11" s="135">
        <f t="shared" si="0"/>
        <v>0</v>
      </c>
      <c r="K11" s="134">
        <f t="shared" si="0"/>
        <v>0</v>
      </c>
      <c r="L11" s="135">
        <f t="shared" si="0"/>
        <v>0</v>
      </c>
      <c r="M11" s="134">
        <f t="shared" si="0"/>
        <v>0</v>
      </c>
      <c r="N11" s="135">
        <f t="shared" si="0"/>
        <v>0</v>
      </c>
      <c r="O11" s="134">
        <f t="shared" si="0"/>
        <v>0</v>
      </c>
      <c r="P11" s="135">
        <f t="shared" si="0"/>
        <v>0</v>
      </c>
      <c r="Q11" s="134">
        <f t="shared" si="0"/>
        <v>0</v>
      </c>
      <c r="R11" s="135">
        <f t="shared" si="0"/>
        <v>0</v>
      </c>
      <c r="S11" s="134">
        <f t="shared" si="0"/>
        <v>0</v>
      </c>
      <c r="T11" s="135">
        <f t="shared" si="0"/>
        <v>0</v>
      </c>
      <c r="U11" s="134">
        <f t="shared" si="0"/>
        <v>0</v>
      </c>
      <c r="V11" s="135">
        <f t="shared" si="0"/>
        <v>0</v>
      </c>
      <c r="W11" s="134">
        <f t="shared" si="0"/>
        <v>0</v>
      </c>
      <c r="X11" s="135">
        <f t="shared" si="0"/>
        <v>0</v>
      </c>
      <c r="Y11" s="134">
        <f t="shared" si="0"/>
        <v>0</v>
      </c>
      <c r="Z11" s="135">
        <f t="shared" si="0"/>
        <v>0</v>
      </c>
      <c r="AA11" s="134">
        <f t="shared" si="0"/>
        <v>0</v>
      </c>
      <c r="AB11" s="135">
        <f t="shared" si="0"/>
        <v>0</v>
      </c>
      <c r="AC11" s="134">
        <f t="shared" si="0"/>
        <v>0</v>
      </c>
      <c r="AD11" s="135">
        <f t="shared" si="0"/>
        <v>0</v>
      </c>
      <c r="AE11" s="134">
        <f t="shared" si="0"/>
        <v>0</v>
      </c>
      <c r="AF11" s="135">
        <f t="shared" si="0"/>
        <v>0</v>
      </c>
    </row>
    <row r="12" spans="1:33" s="138" customFormat="1" ht="37.5" customHeight="1" x14ac:dyDescent="0.25">
      <c r="A12" s="136"/>
      <c r="B12" s="373" t="s">
        <v>215</v>
      </c>
      <c r="C12" s="373"/>
      <c r="D12" s="374"/>
      <c r="E12" s="134"/>
      <c r="F12" s="135"/>
      <c r="G12" s="374"/>
      <c r="H12" s="374"/>
      <c r="I12" s="373">
        <f>E12+G12</f>
        <v>0</v>
      </c>
      <c r="J12" s="373">
        <f>F12+H12</f>
        <v>0</v>
      </c>
      <c r="K12" s="373"/>
      <c r="L12" s="373"/>
      <c r="M12" s="373"/>
      <c r="N12" s="373"/>
      <c r="O12" s="375"/>
      <c r="P12" s="375"/>
      <c r="Q12" s="375">
        <f>K12+M12+O12</f>
        <v>0</v>
      </c>
      <c r="R12" s="375">
        <f>L12+N12+P12</f>
        <v>0</v>
      </c>
      <c r="S12" s="375"/>
      <c r="T12" s="375"/>
      <c r="U12" s="375"/>
      <c r="V12" s="375"/>
      <c r="W12" s="375"/>
      <c r="X12" s="375"/>
      <c r="Y12" s="375"/>
      <c r="Z12" s="375"/>
      <c r="AA12" s="375">
        <f>S12+U12+W12+Y12</f>
        <v>0</v>
      </c>
      <c r="AB12" s="375">
        <f>T12+V12+X12+Z12</f>
        <v>0</v>
      </c>
      <c r="AC12" s="375">
        <f>Q12+AA12</f>
        <v>0</v>
      </c>
      <c r="AD12" s="375">
        <f>R12+AB12</f>
        <v>0</v>
      </c>
      <c r="AE12" s="375">
        <f>C12+I12-AC12</f>
        <v>0</v>
      </c>
      <c r="AF12" s="375">
        <f>D12+J12-AD12</f>
        <v>0</v>
      </c>
    </row>
    <row r="13" spans="1:33" s="138" customFormat="1" ht="37.5" customHeight="1" x14ac:dyDescent="0.25">
      <c r="A13" s="136"/>
      <c r="B13" s="373"/>
      <c r="C13" s="373"/>
      <c r="D13" s="374"/>
      <c r="E13" s="374"/>
      <c r="F13" s="374"/>
      <c r="G13" s="374"/>
      <c r="H13" s="374"/>
      <c r="I13" s="373"/>
      <c r="J13" s="373"/>
      <c r="K13" s="373"/>
      <c r="L13" s="373"/>
      <c r="M13" s="373"/>
      <c r="N13" s="373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</row>
    <row r="14" spans="1:33" s="467" customFormat="1" ht="37.5" customHeight="1" x14ac:dyDescent="0.25">
      <c r="A14" s="465" t="s">
        <v>323</v>
      </c>
      <c r="B14" s="466" t="s">
        <v>344</v>
      </c>
      <c r="C14" s="134">
        <f t="shared" ref="C14:AF14" si="1">SUM(C15:C23)</f>
        <v>7076</v>
      </c>
      <c r="D14" s="134">
        <f t="shared" si="1"/>
        <v>10903724946</v>
      </c>
      <c r="E14" s="134">
        <f t="shared" si="1"/>
        <v>0</v>
      </c>
      <c r="F14" s="134">
        <f t="shared" si="1"/>
        <v>0</v>
      </c>
      <c r="G14" s="134">
        <f t="shared" si="1"/>
        <v>0</v>
      </c>
      <c r="H14" s="134">
        <f t="shared" si="1"/>
        <v>0</v>
      </c>
      <c r="I14" s="134">
        <f t="shared" si="1"/>
        <v>0</v>
      </c>
      <c r="J14" s="134">
        <f t="shared" si="1"/>
        <v>0</v>
      </c>
      <c r="K14" s="134">
        <f t="shared" si="1"/>
        <v>0</v>
      </c>
      <c r="L14" s="134">
        <f t="shared" si="1"/>
        <v>0</v>
      </c>
      <c r="M14" s="134">
        <f t="shared" si="1"/>
        <v>0</v>
      </c>
      <c r="N14" s="134">
        <f t="shared" si="1"/>
        <v>0</v>
      </c>
      <c r="O14" s="134">
        <f t="shared" si="1"/>
        <v>7026</v>
      </c>
      <c r="P14" s="134">
        <f t="shared" si="1"/>
        <v>7824231590</v>
      </c>
      <c r="Q14" s="134">
        <f t="shared" si="1"/>
        <v>7026</v>
      </c>
      <c r="R14" s="134">
        <f t="shared" si="1"/>
        <v>7824231590</v>
      </c>
      <c r="S14" s="134">
        <f t="shared" si="1"/>
        <v>0</v>
      </c>
      <c r="T14" s="134">
        <f t="shared" si="1"/>
        <v>0</v>
      </c>
      <c r="U14" s="134">
        <f t="shared" si="1"/>
        <v>0</v>
      </c>
      <c r="V14" s="134">
        <f t="shared" si="1"/>
        <v>0</v>
      </c>
      <c r="W14" s="134">
        <f t="shared" si="1"/>
        <v>0</v>
      </c>
      <c r="X14" s="134">
        <f t="shared" si="1"/>
        <v>0</v>
      </c>
      <c r="Y14" s="134">
        <f t="shared" si="1"/>
        <v>0</v>
      </c>
      <c r="Z14" s="134">
        <f t="shared" si="1"/>
        <v>0</v>
      </c>
      <c r="AA14" s="134">
        <f t="shared" si="1"/>
        <v>0</v>
      </c>
      <c r="AB14" s="134">
        <f t="shared" si="1"/>
        <v>0</v>
      </c>
      <c r="AC14" s="134">
        <f t="shared" si="1"/>
        <v>7026</v>
      </c>
      <c r="AD14" s="134">
        <f t="shared" si="1"/>
        <v>7824231590</v>
      </c>
      <c r="AE14" s="134">
        <f t="shared" si="1"/>
        <v>50</v>
      </c>
      <c r="AF14" s="134">
        <f t="shared" si="1"/>
        <v>3079493356</v>
      </c>
    </row>
    <row r="15" spans="1:33" s="138" customFormat="1" ht="37.5" customHeight="1" x14ac:dyDescent="0.25">
      <c r="A15" s="136"/>
      <c r="B15" s="139" t="s">
        <v>345</v>
      </c>
      <c r="C15" s="373">
        <v>0</v>
      </c>
      <c r="D15" s="374">
        <v>0</v>
      </c>
      <c r="E15" s="374"/>
      <c r="F15" s="374"/>
      <c r="G15" s="374"/>
      <c r="H15" s="374"/>
      <c r="I15" s="373">
        <f t="shared" ref="I15:I23" si="2">E15+G15</f>
        <v>0</v>
      </c>
      <c r="J15" s="373">
        <f t="shared" ref="J15:J23" si="3">F15+H15</f>
        <v>0</v>
      </c>
      <c r="K15" s="373"/>
      <c r="L15" s="373"/>
      <c r="M15" s="373"/>
      <c r="N15" s="373"/>
      <c r="O15" s="375"/>
      <c r="P15" s="375"/>
      <c r="Q15" s="375">
        <f t="shared" ref="Q15:Q23" si="4">K15+M15+O15</f>
        <v>0</v>
      </c>
      <c r="R15" s="375">
        <f t="shared" ref="R15:R23" si="5">L15+N15+P15</f>
        <v>0</v>
      </c>
      <c r="S15" s="375">
        <v>0</v>
      </c>
      <c r="T15" s="375">
        <v>0</v>
      </c>
      <c r="U15" s="375"/>
      <c r="V15" s="375"/>
      <c r="W15" s="375"/>
      <c r="X15" s="375"/>
      <c r="Y15" s="375"/>
      <c r="Z15" s="375"/>
      <c r="AA15" s="375">
        <f t="shared" ref="AA15:AA23" si="6">S15+U15+W15+Y15</f>
        <v>0</v>
      </c>
      <c r="AB15" s="375">
        <f t="shared" ref="AB15:AB23" si="7">T15+V15+X15+Z15</f>
        <v>0</v>
      </c>
      <c r="AC15" s="375">
        <f t="shared" ref="AC15:AC23" si="8">Q15+AA15</f>
        <v>0</v>
      </c>
      <c r="AD15" s="375">
        <f t="shared" ref="AD15:AD23" si="9">R15+AB15</f>
        <v>0</v>
      </c>
      <c r="AE15" s="375">
        <f t="shared" ref="AE15:AE23" si="10">C15+I15-AC15</f>
        <v>0</v>
      </c>
      <c r="AF15" s="375">
        <f t="shared" ref="AF15:AF23" si="11">D15+J15-AD15</f>
        <v>0</v>
      </c>
    </row>
    <row r="16" spans="1:33" s="138" customFormat="1" ht="37.5" customHeight="1" x14ac:dyDescent="0.25">
      <c r="A16" s="136"/>
      <c r="B16" s="139" t="s">
        <v>346</v>
      </c>
      <c r="C16" s="373">
        <v>76</v>
      </c>
      <c r="D16" s="374">
        <v>4185393356</v>
      </c>
      <c r="E16" s="374"/>
      <c r="F16" s="374"/>
      <c r="G16" s="374"/>
      <c r="H16" s="374"/>
      <c r="I16" s="373">
        <f t="shared" si="2"/>
        <v>0</v>
      </c>
      <c r="J16" s="373">
        <f t="shared" si="3"/>
        <v>0</v>
      </c>
      <c r="K16" s="373"/>
      <c r="L16" s="373"/>
      <c r="M16" s="373"/>
      <c r="N16" s="373"/>
      <c r="O16" s="197">
        <v>26</v>
      </c>
      <c r="P16" s="198">
        <v>1105900000</v>
      </c>
      <c r="Q16" s="375">
        <f t="shared" si="4"/>
        <v>26</v>
      </c>
      <c r="R16" s="375">
        <f t="shared" si="5"/>
        <v>1105900000</v>
      </c>
      <c r="S16" s="375"/>
      <c r="T16" s="375"/>
      <c r="U16" s="375"/>
      <c r="V16" s="375"/>
      <c r="W16" s="375"/>
      <c r="X16" s="375"/>
      <c r="Y16" s="375"/>
      <c r="Z16" s="375"/>
      <c r="AA16" s="375">
        <f t="shared" si="6"/>
        <v>0</v>
      </c>
      <c r="AB16" s="375">
        <f t="shared" si="7"/>
        <v>0</v>
      </c>
      <c r="AC16" s="375">
        <f t="shared" si="8"/>
        <v>26</v>
      </c>
      <c r="AD16" s="375">
        <f t="shared" si="9"/>
        <v>1105900000</v>
      </c>
      <c r="AE16" s="375">
        <f t="shared" si="10"/>
        <v>50</v>
      </c>
      <c r="AF16" s="375">
        <f t="shared" si="11"/>
        <v>3079493356</v>
      </c>
    </row>
    <row r="17" spans="1:32" s="138" customFormat="1" ht="37.5" customHeight="1" x14ac:dyDescent="0.25">
      <c r="A17" s="136"/>
      <c r="B17" s="140" t="s">
        <v>347</v>
      </c>
      <c r="C17" s="373">
        <v>0</v>
      </c>
      <c r="D17" s="374">
        <v>0</v>
      </c>
      <c r="E17" s="374"/>
      <c r="F17" s="374"/>
      <c r="G17" s="374"/>
      <c r="H17" s="374"/>
      <c r="I17" s="373">
        <f t="shared" si="2"/>
        <v>0</v>
      </c>
      <c r="J17" s="373">
        <f t="shared" si="3"/>
        <v>0</v>
      </c>
      <c r="K17" s="373"/>
      <c r="L17" s="373"/>
      <c r="M17" s="373"/>
      <c r="N17" s="373"/>
      <c r="O17" s="375"/>
      <c r="P17" s="375"/>
      <c r="Q17" s="375">
        <f t="shared" si="4"/>
        <v>0</v>
      </c>
      <c r="R17" s="375">
        <f t="shared" si="5"/>
        <v>0</v>
      </c>
      <c r="S17" s="375">
        <v>0</v>
      </c>
      <c r="T17" s="375">
        <v>0</v>
      </c>
      <c r="U17" s="375"/>
      <c r="V17" s="375"/>
      <c r="W17" s="375"/>
      <c r="X17" s="375"/>
      <c r="Y17" s="375"/>
      <c r="Z17" s="375"/>
      <c r="AA17" s="375">
        <f t="shared" si="6"/>
        <v>0</v>
      </c>
      <c r="AB17" s="375">
        <f t="shared" si="7"/>
        <v>0</v>
      </c>
      <c r="AC17" s="375">
        <f t="shared" si="8"/>
        <v>0</v>
      </c>
      <c r="AD17" s="375">
        <f t="shared" si="9"/>
        <v>0</v>
      </c>
      <c r="AE17" s="375">
        <f t="shared" si="10"/>
        <v>0</v>
      </c>
      <c r="AF17" s="375">
        <f t="shared" si="11"/>
        <v>0</v>
      </c>
    </row>
    <row r="18" spans="1:32" s="138" customFormat="1" ht="37.5" customHeight="1" x14ac:dyDescent="0.25">
      <c r="A18" s="136"/>
      <c r="B18" s="140" t="s">
        <v>348</v>
      </c>
      <c r="C18" s="373">
        <v>0</v>
      </c>
      <c r="D18" s="374">
        <v>0</v>
      </c>
      <c r="E18" s="374"/>
      <c r="F18" s="374"/>
      <c r="G18" s="374"/>
      <c r="H18" s="374"/>
      <c r="I18" s="373">
        <f t="shared" si="2"/>
        <v>0</v>
      </c>
      <c r="J18" s="373">
        <f t="shared" si="3"/>
        <v>0</v>
      </c>
      <c r="K18" s="373"/>
      <c r="L18" s="373"/>
      <c r="M18" s="373"/>
      <c r="N18" s="373"/>
      <c r="O18" s="375"/>
      <c r="P18" s="375"/>
      <c r="Q18" s="375">
        <f t="shared" si="4"/>
        <v>0</v>
      </c>
      <c r="R18" s="375">
        <f t="shared" si="5"/>
        <v>0</v>
      </c>
      <c r="S18" s="375">
        <v>0</v>
      </c>
      <c r="T18" s="375">
        <v>0</v>
      </c>
      <c r="U18" s="375"/>
      <c r="V18" s="375"/>
      <c r="W18" s="375"/>
      <c r="X18" s="375"/>
      <c r="Y18" s="375"/>
      <c r="Z18" s="375"/>
      <c r="AA18" s="375">
        <f t="shared" si="6"/>
        <v>0</v>
      </c>
      <c r="AB18" s="375">
        <f t="shared" si="7"/>
        <v>0</v>
      </c>
      <c r="AC18" s="375">
        <f t="shared" si="8"/>
        <v>0</v>
      </c>
      <c r="AD18" s="375">
        <f t="shared" si="9"/>
        <v>0</v>
      </c>
      <c r="AE18" s="375">
        <f t="shared" si="10"/>
        <v>0</v>
      </c>
      <c r="AF18" s="375">
        <f t="shared" si="11"/>
        <v>0</v>
      </c>
    </row>
    <row r="19" spans="1:32" s="138" customFormat="1" ht="37.5" customHeight="1" x14ac:dyDescent="0.25">
      <c r="A19" s="136"/>
      <c r="B19" s="140" t="s">
        <v>349</v>
      </c>
      <c r="C19" s="373">
        <v>6542</v>
      </c>
      <c r="D19" s="374">
        <v>4756251670</v>
      </c>
      <c r="E19" s="374"/>
      <c r="F19" s="374"/>
      <c r="G19" s="374"/>
      <c r="H19" s="374"/>
      <c r="I19" s="373">
        <f t="shared" si="2"/>
        <v>0</v>
      </c>
      <c r="J19" s="373">
        <f t="shared" si="3"/>
        <v>0</v>
      </c>
      <c r="K19" s="373"/>
      <c r="L19" s="373"/>
      <c r="M19" s="373"/>
      <c r="N19" s="373"/>
      <c r="O19" s="375">
        <v>6542</v>
      </c>
      <c r="P19" s="375">
        <v>4756251670</v>
      </c>
      <c r="Q19" s="375">
        <f t="shared" si="4"/>
        <v>6542</v>
      </c>
      <c r="R19" s="375">
        <f t="shared" si="5"/>
        <v>4756251670</v>
      </c>
      <c r="S19" s="375"/>
      <c r="T19" s="375"/>
      <c r="U19" s="375"/>
      <c r="V19" s="375"/>
      <c r="W19" s="375"/>
      <c r="X19" s="375"/>
      <c r="Y19" s="375"/>
      <c r="Z19" s="375"/>
      <c r="AA19" s="375">
        <f t="shared" si="6"/>
        <v>0</v>
      </c>
      <c r="AB19" s="375">
        <f t="shared" si="7"/>
        <v>0</v>
      </c>
      <c r="AC19" s="375">
        <f t="shared" si="8"/>
        <v>6542</v>
      </c>
      <c r="AD19" s="375">
        <f t="shared" si="9"/>
        <v>4756251670</v>
      </c>
      <c r="AE19" s="375">
        <f t="shared" si="10"/>
        <v>0</v>
      </c>
      <c r="AF19" s="375">
        <f t="shared" si="11"/>
        <v>0</v>
      </c>
    </row>
    <row r="20" spans="1:32" s="138" customFormat="1" ht="37.5" customHeight="1" x14ac:dyDescent="0.25">
      <c r="A20" s="136"/>
      <c r="B20" s="140" t="s">
        <v>350</v>
      </c>
      <c r="C20" s="373">
        <v>458</v>
      </c>
      <c r="D20" s="374">
        <v>1962079920</v>
      </c>
      <c r="E20" s="374"/>
      <c r="F20" s="374"/>
      <c r="G20" s="374"/>
      <c r="H20" s="374"/>
      <c r="I20" s="373">
        <f t="shared" si="2"/>
        <v>0</v>
      </c>
      <c r="J20" s="373">
        <f t="shared" si="3"/>
        <v>0</v>
      </c>
      <c r="K20" s="373"/>
      <c r="L20" s="373"/>
      <c r="M20" s="373"/>
      <c r="N20" s="373"/>
      <c r="O20" s="375">
        <v>458</v>
      </c>
      <c r="P20" s="375">
        <v>1962079920</v>
      </c>
      <c r="Q20" s="375">
        <f t="shared" si="4"/>
        <v>458</v>
      </c>
      <c r="R20" s="375">
        <f t="shared" si="5"/>
        <v>1962079920</v>
      </c>
      <c r="S20" s="375"/>
      <c r="T20" s="375"/>
      <c r="U20" s="375"/>
      <c r="V20" s="375"/>
      <c r="W20" s="375"/>
      <c r="X20" s="375"/>
      <c r="Y20" s="375"/>
      <c r="Z20" s="375"/>
      <c r="AA20" s="375">
        <f t="shared" si="6"/>
        <v>0</v>
      </c>
      <c r="AB20" s="375">
        <f t="shared" si="7"/>
        <v>0</v>
      </c>
      <c r="AC20" s="375">
        <f t="shared" si="8"/>
        <v>458</v>
      </c>
      <c r="AD20" s="375">
        <f t="shared" si="9"/>
        <v>1962079920</v>
      </c>
      <c r="AE20" s="375">
        <f t="shared" si="10"/>
        <v>0</v>
      </c>
      <c r="AF20" s="375">
        <f t="shared" si="11"/>
        <v>0</v>
      </c>
    </row>
    <row r="21" spans="1:32" s="138" customFormat="1" ht="37.5" customHeight="1" x14ac:dyDescent="0.25">
      <c r="A21" s="136"/>
      <c r="B21" s="139" t="s">
        <v>351</v>
      </c>
      <c r="C21" s="373">
        <v>0</v>
      </c>
      <c r="D21" s="374">
        <v>0</v>
      </c>
      <c r="E21" s="374"/>
      <c r="F21" s="374"/>
      <c r="G21" s="374"/>
      <c r="H21" s="374"/>
      <c r="I21" s="373">
        <f t="shared" si="2"/>
        <v>0</v>
      </c>
      <c r="J21" s="373">
        <f t="shared" si="3"/>
        <v>0</v>
      </c>
      <c r="K21" s="373"/>
      <c r="L21" s="373"/>
      <c r="M21" s="373"/>
      <c r="N21" s="373"/>
      <c r="O21" s="375"/>
      <c r="P21" s="375"/>
      <c r="Q21" s="375">
        <f t="shared" si="4"/>
        <v>0</v>
      </c>
      <c r="R21" s="375">
        <f t="shared" si="5"/>
        <v>0</v>
      </c>
      <c r="S21" s="375">
        <v>0</v>
      </c>
      <c r="T21" s="375">
        <v>0</v>
      </c>
      <c r="U21" s="375"/>
      <c r="V21" s="375"/>
      <c r="W21" s="375"/>
      <c r="X21" s="375"/>
      <c r="Y21" s="375"/>
      <c r="Z21" s="375"/>
      <c r="AA21" s="375">
        <f t="shared" si="6"/>
        <v>0</v>
      </c>
      <c r="AB21" s="375">
        <f t="shared" si="7"/>
        <v>0</v>
      </c>
      <c r="AC21" s="375">
        <f t="shared" si="8"/>
        <v>0</v>
      </c>
      <c r="AD21" s="375">
        <f t="shared" si="9"/>
        <v>0</v>
      </c>
      <c r="AE21" s="375">
        <f t="shared" si="10"/>
        <v>0</v>
      </c>
      <c r="AF21" s="375">
        <f t="shared" si="11"/>
        <v>0</v>
      </c>
    </row>
    <row r="22" spans="1:32" s="138" customFormat="1" ht="37.5" customHeight="1" x14ac:dyDescent="0.25">
      <c r="A22" s="136"/>
      <c r="B22" s="139" t="s">
        <v>352</v>
      </c>
      <c r="C22" s="373">
        <v>0</v>
      </c>
      <c r="D22" s="374">
        <v>0</v>
      </c>
      <c r="E22" s="374"/>
      <c r="F22" s="374"/>
      <c r="G22" s="374"/>
      <c r="H22" s="374"/>
      <c r="I22" s="373">
        <f t="shared" si="2"/>
        <v>0</v>
      </c>
      <c r="J22" s="373">
        <f t="shared" si="3"/>
        <v>0</v>
      </c>
      <c r="K22" s="373"/>
      <c r="L22" s="373"/>
      <c r="M22" s="373"/>
      <c r="N22" s="373"/>
      <c r="O22" s="375"/>
      <c r="P22" s="375"/>
      <c r="Q22" s="375">
        <f t="shared" si="4"/>
        <v>0</v>
      </c>
      <c r="R22" s="375">
        <f t="shared" si="5"/>
        <v>0</v>
      </c>
      <c r="S22" s="375">
        <v>0</v>
      </c>
      <c r="T22" s="375">
        <v>0</v>
      </c>
      <c r="U22" s="375"/>
      <c r="V22" s="375"/>
      <c r="W22" s="375"/>
      <c r="X22" s="375"/>
      <c r="Y22" s="375"/>
      <c r="Z22" s="375"/>
      <c r="AA22" s="375">
        <f t="shared" si="6"/>
        <v>0</v>
      </c>
      <c r="AB22" s="375">
        <f t="shared" si="7"/>
        <v>0</v>
      </c>
      <c r="AC22" s="375">
        <f t="shared" si="8"/>
        <v>0</v>
      </c>
      <c r="AD22" s="375">
        <f t="shared" si="9"/>
        <v>0</v>
      </c>
      <c r="AE22" s="375">
        <f t="shared" si="10"/>
        <v>0</v>
      </c>
      <c r="AF22" s="375">
        <f t="shared" si="11"/>
        <v>0</v>
      </c>
    </row>
    <row r="23" spans="1:32" s="138" customFormat="1" ht="37.5" customHeight="1" x14ac:dyDescent="0.25">
      <c r="A23" s="136"/>
      <c r="B23" s="139" t="s">
        <v>353</v>
      </c>
      <c r="C23" s="373">
        <v>0</v>
      </c>
      <c r="D23" s="374">
        <v>0</v>
      </c>
      <c r="E23" s="374"/>
      <c r="F23" s="374"/>
      <c r="G23" s="374"/>
      <c r="H23" s="374"/>
      <c r="I23" s="373">
        <f t="shared" si="2"/>
        <v>0</v>
      </c>
      <c r="J23" s="373">
        <f t="shared" si="3"/>
        <v>0</v>
      </c>
      <c r="K23" s="373"/>
      <c r="L23" s="373"/>
      <c r="M23" s="373"/>
      <c r="N23" s="373"/>
      <c r="O23" s="375"/>
      <c r="P23" s="375"/>
      <c r="Q23" s="375">
        <f t="shared" si="4"/>
        <v>0</v>
      </c>
      <c r="R23" s="375">
        <f t="shared" si="5"/>
        <v>0</v>
      </c>
      <c r="S23" s="375">
        <v>0</v>
      </c>
      <c r="T23" s="375">
        <v>0</v>
      </c>
      <c r="U23" s="375"/>
      <c r="V23" s="375"/>
      <c r="W23" s="375"/>
      <c r="X23" s="375"/>
      <c r="Y23" s="375"/>
      <c r="Z23" s="375"/>
      <c r="AA23" s="375">
        <f t="shared" si="6"/>
        <v>0</v>
      </c>
      <c r="AB23" s="375">
        <f t="shared" si="7"/>
        <v>0</v>
      </c>
      <c r="AC23" s="375">
        <f t="shared" si="8"/>
        <v>0</v>
      </c>
      <c r="AD23" s="375">
        <f t="shared" si="9"/>
        <v>0</v>
      </c>
      <c r="AE23" s="375">
        <f t="shared" si="10"/>
        <v>0</v>
      </c>
      <c r="AF23" s="375">
        <f t="shared" si="11"/>
        <v>0</v>
      </c>
    </row>
    <row r="24" spans="1:32" s="138" customFormat="1" ht="37.5" customHeight="1" x14ac:dyDescent="0.25">
      <c r="A24" s="136"/>
      <c r="B24" s="373"/>
      <c r="C24" s="373"/>
      <c r="D24" s="374"/>
      <c r="E24" s="374"/>
      <c r="F24" s="374"/>
      <c r="G24" s="374"/>
      <c r="H24" s="374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</row>
    <row r="25" spans="1:32" s="138" customFormat="1" ht="37.5" customHeight="1" x14ac:dyDescent="0.25">
      <c r="A25" s="136" t="s">
        <v>325</v>
      </c>
      <c r="B25" s="137" t="s">
        <v>354</v>
      </c>
      <c r="C25" s="141">
        <f t="shared" ref="C25:AF25" si="12">SUM(C26:C27)</f>
        <v>0</v>
      </c>
      <c r="D25" s="141">
        <f t="shared" si="12"/>
        <v>0</v>
      </c>
      <c r="E25" s="141">
        <f t="shared" si="12"/>
        <v>0</v>
      </c>
      <c r="F25" s="142">
        <f t="shared" si="12"/>
        <v>0</v>
      </c>
      <c r="G25" s="141">
        <f t="shared" si="12"/>
        <v>0</v>
      </c>
      <c r="H25" s="142">
        <f t="shared" si="12"/>
        <v>0</v>
      </c>
      <c r="I25" s="141">
        <f t="shared" si="12"/>
        <v>0</v>
      </c>
      <c r="J25" s="142">
        <f t="shared" si="12"/>
        <v>0</v>
      </c>
      <c r="K25" s="141">
        <f t="shared" si="12"/>
        <v>0</v>
      </c>
      <c r="L25" s="142">
        <f t="shared" si="12"/>
        <v>0</v>
      </c>
      <c r="M25" s="141">
        <f t="shared" si="12"/>
        <v>0</v>
      </c>
      <c r="N25" s="142">
        <f t="shared" si="12"/>
        <v>0</v>
      </c>
      <c r="O25" s="141">
        <f t="shared" si="12"/>
        <v>0</v>
      </c>
      <c r="P25" s="142">
        <f t="shared" si="12"/>
        <v>0</v>
      </c>
      <c r="Q25" s="141">
        <f t="shared" si="12"/>
        <v>0</v>
      </c>
      <c r="R25" s="142">
        <f t="shared" si="12"/>
        <v>0</v>
      </c>
      <c r="S25" s="141">
        <f t="shared" si="12"/>
        <v>0</v>
      </c>
      <c r="T25" s="142">
        <f t="shared" si="12"/>
        <v>0</v>
      </c>
      <c r="U25" s="141">
        <f t="shared" si="12"/>
        <v>0</v>
      </c>
      <c r="V25" s="142">
        <f t="shared" si="12"/>
        <v>0</v>
      </c>
      <c r="W25" s="141">
        <f t="shared" si="12"/>
        <v>0</v>
      </c>
      <c r="X25" s="142">
        <f t="shared" si="12"/>
        <v>0</v>
      </c>
      <c r="Y25" s="141">
        <f t="shared" si="12"/>
        <v>0</v>
      </c>
      <c r="Z25" s="142">
        <f t="shared" si="12"/>
        <v>0</v>
      </c>
      <c r="AA25" s="141">
        <f t="shared" si="12"/>
        <v>0</v>
      </c>
      <c r="AB25" s="142">
        <f t="shared" si="12"/>
        <v>0</v>
      </c>
      <c r="AC25" s="141">
        <f t="shared" si="12"/>
        <v>0</v>
      </c>
      <c r="AD25" s="142">
        <f t="shared" si="12"/>
        <v>0</v>
      </c>
      <c r="AE25" s="141">
        <f t="shared" si="12"/>
        <v>0</v>
      </c>
      <c r="AF25" s="142">
        <f t="shared" si="12"/>
        <v>0</v>
      </c>
    </row>
    <row r="26" spans="1:32" s="138" customFormat="1" ht="37.5" customHeight="1" x14ac:dyDescent="0.25">
      <c r="A26" s="136"/>
      <c r="B26" s="139" t="s">
        <v>228</v>
      </c>
      <c r="C26" s="373"/>
      <c r="D26" s="374"/>
      <c r="E26" s="464"/>
      <c r="F26" s="374"/>
      <c r="G26" s="374"/>
      <c r="H26" s="374"/>
      <c r="I26" s="373">
        <f>E26+G26</f>
        <v>0</v>
      </c>
      <c r="J26" s="373">
        <f>F26+H26</f>
        <v>0</v>
      </c>
      <c r="K26" s="373"/>
      <c r="L26" s="373"/>
      <c r="M26" s="373"/>
      <c r="N26" s="373"/>
      <c r="O26" s="375"/>
      <c r="P26" s="375"/>
      <c r="Q26" s="375">
        <f>K26+M26+O26</f>
        <v>0</v>
      </c>
      <c r="R26" s="375">
        <f>L26+N26+P26</f>
        <v>0</v>
      </c>
      <c r="S26" s="375"/>
      <c r="T26" s="375"/>
      <c r="U26" s="375"/>
      <c r="V26" s="375"/>
      <c r="W26" s="375"/>
      <c r="X26" s="375"/>
      <c r="Y26" s="375"/>
      <c r="Z26" s="375"/>
      <c r="AA26" s="375">
        <f>S26+U26+W26+Y26</f>
        <v>0</v>
      </c>
      <c r="AB26" s="375">
        <f>T26+V26+X26+Z26</f>
        <v>0</v>
      </c>
      <c r="AC26" s="375">
        <f>Q26+AA26</f>
        <v>0</v>
      </c>
      <c r="AD26" s="375">
        <f>R26+AB26</f>
        <v>0</v>
      </c>
      <c r="AE26" s="375">
        <f>C26+I26-AC26</f>
        <v>0</v>
      </c>
      <c r="AF26" s="375">
        <f>D26+J26-AD26</f>
        <v>0</v>
      </c>
    </row>
    <row r="27" spans="1:32" s="138" customFormat="1" ht="37.5" customHeight="1" x14ac:dyDescent="0.25">
      <c r="A27" s="136"/>
      <c r="B27" s="139" t="s">
        <v>229</v>
      </c>
      <c r="C27" s="373"/>
      <c r="D27" s="374"/>
      <c r="E27" s="374"/>
      <c r="F27" s="374"/>
      <c r="G27" s="374"/>
      <c r="H27" s="374"/>
      <c r="I27" s="373">
        <f>E27+G27</f>
        <v>0</v>
      </c>
      <c r="J27" s="373">
        <f>F27+H27</f>
        <v>0</v>
      </c>
      <c r="K27" s="373"/>
      <c r="L27" s="373"/>
      <c r="M27" s="373"/>
      <c r="N27" s="373"/>
      <c r="O27" s="375"/>
      <c r="P27" s="375"/>
      <c r="Q27" s="375">
        <f>K27+M27+O27</f>
        <v>0</v>
      </c>
      <c r="R27" s="375">
        <f>L27+N27+P27</f>
        <v>0</v>
      </c>
      <c r="S27" s="375"/>
      <c r="T27" s="375"/>
      <c r="U27" s="375"/>
      <c r="V27" s="375"/>
      <c r="W27" s="375"/>
      <c r="X27" s="375"/>
      <c r="Y27" s="375"/>
      <c r="Z27" s="375"/>
      <c r="AA27" s="375">
        <f>S27+U27+W27+Y27</f>
        <v>0</v>
      </c>
      <c r="AB27" s="375">
        <f>T27+V27+X27+Z27</f>
        <v>0</v>
      </c>
      <c r="AC27" s="375">
        <f>Q27+AA27</f>
        <v>0</v>
      </c>
      <c r="AD27" s="375">
        <f>R27+AB27</f>
        <v>0</v>
      </c>
      <c r="AE27" s="375">
        <f>C27+I27-AC27</f>
        <v>0</v>
      </c>
      <c r="AF27" s="375">
        <f>D27+J27-AD27</f>
        <v>0</v>
      </c>
    </row>
    <row r="28" spans="1:32" s="138" customFormat="1" ht="37.5" customHeight="1" x14ac:dyDescent="0.25">
      <c r="A28" s="136"/>
      <c r="B28" s="373"/>
      <c r="C28" s="373"/>
      <c r="D28" s="374"/>
      <c r="E28" s="374"/>
      <c r="F28" s="374"/>
      <c r="G28" s="374"/>
      <c r="H28" s="374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</row>
    <row r="29" spans="1:32" s="138" customFormat="1" ht="37.5" customHeight="1" x14ac:dyDescent="0.25">
      <c r="A29" s="136" t="s">
        <v>368</v>
      </c>
      <c r="B29" s="137" t="s">
        <v>326</v>
      </c>
      <c r="C29" s="141">
        <f t="shared" ref="C29:AF29" si="13">SUM(C30:C33)</f>
        <v>0</v>
      </c>
      <c r="D29" s="141">
        <f t="shared" si="13"/>
        <v>0</v>
      </c>
      <c r="E29" s="141">
        <f t="shared" si="13"/>
        <v>0</v>
      </c>
      <c r="F29" s="142">
        <f t="shared" si="13"/>
        <v>0</v>
      </c>
      <c r="G29" s="141">
        <f t="shared" si="13"/>
        <v>0</v>
      </c>
      <c r="H29" s="142">
        <f t="shared" si="13"/>
        <v>0</v>
      </c>
      <c r="I29" s="141">
        <f t="shared" si="13"/>
        <v>0</v>
      </c>
      <c r="J29" s="142">
        <f t="shared" si="13"/>
        <v>0</v>
      </c>
      <c r="K29" s="141">
        <f t="shared" si="13"/>
        <v>0</v>
      </c>
      <c r="L29" s="142">
        <f t="shared" si="13"/>
        <v>0</v>
      </c>
      <c r="M29" s="141">
        <f t="shared" si="13"/>
        <v>0</v>
      </c>
      <c r="N29" s="142">
        <f t="shared" si="13"/>
        <v>0</v>
      </c>
      <c r="O29" s="141">
        <f t="shared" si="13"/>
        <v>0</v>
      </c>
      <c r="P29" s="142">
        <f t="shared" si="13"/>
        <v>0</v>
      </c>
      <c r="Q29" s="141">
        <f t="shared" si="13"/>
        <v>0</v>
      </c>
      <c r="R29" s="142">
        <f t="shared" si="13"/>
        <v>0</v>
      </c>
      <c r="S29" s="141">
        <f t="shared" si="13"/>
        <v>0</v>
      </c>
      <c r="T29" s="142">
        <f t="shared" si="13"/>
        <v>0</v>
      </c>
      <c r="U29" s="141">
        <f t="shared" si="13"/>
        <v>0</v>
      </c>
      <c r="V29" s="142">
        <f t="shared" si="13"/>
        <v>0</v>
      </c>
      <c r="W29" s="141">
        <f t="shared" si="13"/>
        <v>0</v>
      </c>
      <c r="X29" s="142">
        <f t="shared" si="13"/>
        <v>0</v>
      </c>
      <c r="Y29" s="141">
        <f t="shared" si="13"/>
        <v>0</v>
      </c>
      <c r="Z29" s="142">
        <f t="shared" si="13"/>
        <v>0</v>
      </c>
      <c r="AA29" s="141">
        <f t="shared" si="13"/>
        <v>0</v>
      </c>
      <c r="AB29" s="142">
        <f t="shared" si="13"/>
        <v>0</v>
      </c>
      <c r="AC29" s="141">
        <f t="shared" si="13"/>
        <v>0</v>
      </c>
      <c r="AD29" s="142">
        <f t="shared" si="13"/>
        <v>0</v>
      </c>
      <c r="AE29" s="141">
        <f t="shared" si="13"/>
        <v>0</v>
      </c>
      <c r="AF29" s="142">
        <f t="shared" si="13"/>
        <v>0</v>
      </c>
    </row>
    <row r="30" spans="1:32" s="138" customFormat="1" ht="37.5" customHeight="1" x14ac:dyDescent="0.25">
      <c r="A30" s="136"/>
      <c r="B30" s="139" t="s">
        <v>231</v>
      </c>
      <c r="C30" s="373">
        <v>0</v>
      </c>
      <c r="D30" s="374">
        <v>0</v>
      </c>
      <c r="E30" s="374"/>
      <c r="F30" s="374"/>
      <c r="G30" s="374"/>
      <c r="H30" s="374"/>
      <c r="I30" s="373">
        <f t="shared" ref="I30:J33" si="14">E30+G30</f>
        <v>0</v>
      </c>
      <c r="J30" s="373">
        <f t="shared" si="14"/>
        <v>0</v>
      </c>
      <c r="K30" s="373"/>
      <c r="L30" s="373"/>
      <c r="M30" s="373"/>
      <c r="N30" s="373"/>
      <c r="O30" s="375"/>
      <c r="P30" s="375"/>
      <c r="Q30" s="375">
        <f t="shared" ref="Q30:R33" si="15">K30+M30+O30</f>
        <v>0</v>
      </c>
      <c r="R30" s="375">
        <f t="shared" si="15"/>
        <v>0</v>
      </c>
      <c r="S30" s="375"/>
      <c r="T30" s="375"/>
      <c r="U30" s="375"/>
      <c r="V30" s="375"/>
      <c r="W30" s="375"/>
      <c r="X30" s="375"/>
      <c r="Y30" s="375"/>
      <c r="Z30" s="375"/>
      <c r="AA30" s="375">
        <f t="shared" ref="AA30:AB33" si="16">S30+U30+W30+Y30</f>
        <v>0</v>
      </c>
      <c r="AB30" s="375">
        <f t="shared" si="16"/>
        <v>0</v>
      </c>
      <c r="AC30" s="375">
        <f t="shared" ref="AC30:AD33" si="17">Q30+AA30</f>
        <v>0</v>
      </c>
      <c r="AD30" s="375">
        <f t="shared" si="17"/>
        <v>0</v>
      </c>
      <c r="AE30" s="375">
        <f t="shared" ref="AE30:AF33" si="18">C30+I30-AC30</f>
        <v>0</v>
      </c>
      <c r="AF30" s="375">
        <f t="shared" si="18"/>
        <v>0</v>
      </c>
    </row>
    <row r="31" spans="1:32" s="138" customFormat="1" ht="37.5" customHeight="1" x14ac:dyDescent="0.25">
      <c r="A31" s="136"/>
      <c r="B31" s="139" t="s">
        <v>356</v>
      </c>
      <c r="C31" s="373">
        <v>0</v>
      </c>
      <c r="D31" s="374">
        <v>0</v>
      </c>
      <c r="E31" s="374"/>
      <c r="F31" s="374"/>
      <c r="G31" s="374"/>
      <c r="H31" s="374"/>
      <c r="I31" s="373">
        <f t="shared" si="14"/>
        <v>0</v>
      </c>
      <c r="J31" s="373">
        <f t="shared" si="14"/>
        <v>0</v>
      </c>
      <c r="K31" s="373"/>
      <c r="L31" s="373"/>
      <c r="M31" s="373"/>
      <c r="N31" s="373"/>
      <c r="O31" s="375"/>
      <c r="P31" s="375"/>
      <c r="Q31" s="375">
        <f t="shared" si="15"/>
        <v>0</v>
      </c>
      <c r="R31" s="375">
        <f t="shared" si="15"/>
        <v>0</v>
      </c>
      <c r="S31" s="375"/>
      <c r="T31" s="375"/>
      <c r="U31" s="375"/>
      <c r="V31" s="375"/>
      <c r="W31" s="375"/>
      <c r="X31" s="375"/>
      <c r="Y31" s="375"/>
      <c r="Z31" s="375"/>
      <c r="AA31" s="375">
        <f t="shared" si="16"/>
        <v>0</v>
      </c>
      <c r="AB31" s="375">
        <f t="shared" si="16"/>
        <v>0</v>
      </c>
      <c r="AC31" s="375">
        <f t="shared" si="17"/>
        <v>0</v>
      </c>
      <c r="AD31" s="375">
        <f t="shared" si="17"/>
        <v>0</v>
      </c>
      <c r="AE31" s="375">
        <f t="shared" si="18"/>
        <v>0</v>
      </c>
      <c r="AF31" s="375">
        <f t="shared" si="18"/>
        <v>0</v>
      </c>
    </row>
    <row r="32" spans="1:32" s="138" customFormat="1" ht="37.5" customHeight="1" x14ac:dyDescent="0.25">
      <c r="A32" s="136"/>
      <c r="B32" s="139" t="s">
        <v>357</v>
      </c>
      <c r="C32" s="373">
        <v>0</v>
      </c>
      <c r="D32" s="374">
        <v>0</v>
      </c>
      <c r="E32" s="374"/>
      <c r="F32" s="374"/>
      <c r="G32" s="374"/>
      <c r="H32" s="374"/>
      <c r="I32" s="373">
        <f t="shared" si="14"/>
        <v>0</v>
      </c>
      <c r="J32" s="373">
        <f t="shared" si="14"/>
        <v>0</v>
      </c>
      <c r="K32" s="373"/>
      <c r="L32" s="373"/>
      <c r="M32" s="373"/>
      <c r="N32" s="373"/>
      <c r="O32" s="375"/>
      <c r="P32" s="375"/>
      <c r="Q32" s="375">
        <f t="shared" si="15"/>
        <v>0</v>
      </c>
      <c r="R32" s="375">
        <f t="shared" si="15"/>
        <v>0</v>
      </c>
      <c r="S32" s="375"/>
      <c r="T32" s="375"/>
      <c r="U32" s="375"/>
      <c r="V32" s="375"/>
      <c r="W32" s="375"/>
      <c r="X32" s="375"/>
      <c r="Y32" s="375"/>
      <c r="Z32" s="375"/>
      <c r="AA32" s="375">
        <f t="shared" si="16"/>
        <v>0</v>
      </c>
      <c r="AB32" s="375">
        <f t="shared" si="16"/>
        <v>0</v>
      </c>
      <c r="AC32" s="375">
        <f t="shared" si="17"/>
        <v>0</v>
      </c>
      <c r="AD32" s="375">
        <f t="shared" si="17"/>
        <v>0</v>
      </c>
      <c r="AE32" s="375">
        <f t="shared" si="18"/>
        <v>0</v>
      </c>
      <c r="AF32" s="375">
        <f t="shared" si="18"/>
        <v>0</v>
      </c>
    </row>
    <row r="33" spans="1:32" s="138" customFormat="1" ht="37.5" customHeight="1" x14ac:dyDescent="0.25">
      <c r="A33" s="136"/>
      <c r="B33" s="139" t="s">
        <v>234</v>
      </c>
      <c r="C33" s="373">
        <v>0</v>
      </c>
      <c r="D33" s="374">
        <v>0</v>
      </c>
      <c r="E33" s="374"/>
      <c r="F33" s="374"/>
      <c r="G33" s="374"/>
      <c r="H33" s="374"/>
      <c r="I33" s="373">
        <f t="shared" si="14"/>
        <v>0</v>
      </c>
      <c r="J33" s="373">
        <f t="shared" si="14"/>
        <v>0</v>
      </c>
      <c r="K33" s="373"/>
      <c r="L33" s="373"/>
      <c r="M33" s="373"/>
      <c r="N33" s="373"/>
      <c r="O33" s="375"/>
      <c r="P33" s="375"/>
      <c r="Q33" s="375">
        <f t="shared" si="15"/>
        <v>0</v>
      </c>
      <c r="R33" s="375">
        <f t="shared" si="15"/>
        <v>0</v>
      </c>
      <c r="S33" s="375"/>
      <c r="T33" s="375"/>
      <c r="U33" s="375"/>
      <c r="V33" s="375"/>
      <c r="W33" s="375"/>
      <c r="X33" s="375"/>
      <c r="Y33" s="375"/>
      <c r="Z33" s="375"/>
      <c r="AA33" s="375">
        <f t="shared" si="16"/>
        <v>0</v>
      </c>
      <c r="AB33" s="375">
        <f t="shared" si="16"/>
        <v>0</v>
      </c>
      <c r="AC33" s="375">
        <f t="shared" si="17"/>
        <v>0</v>
      </c>
      <c r="AD33" s="375">
        <f t="shared" si="17"/>
        <v>0</v>
      </c>
      <c r="AE33" s="375">
        <f t="shared" si="18"/>
        <v>0</v>
      </c>
      <c r="AF33" s="375">
        <f t="shared" si="18"/>
        <v>0</v>
      </c>
    </row>
    <row r="34" spans="1:32" s="138" customFormat="1" ht="37.5" customHeight="1" x14ac:dyDescent="0.25">
      <c r="A34" s="136"/>
      <c r="B34" s="373"/>
      <c r="C34" s="373"/>
      <c r="D34" s="374"/>
      <c r="E34" s="374"/>
      <c r="F34" s="374"/>
      <c r="G34" s="374"/>
      <c r="H34" s="374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</row>
    <row r="35" spans="1:32" s="138" customFormat="1" ht="37.5" customHeight="1" x14ac:dyDescent="0.25">
      <c r="A35" s="136" t="s">
        <v>369</v>
      </c>
      <c r="B35" s="137" t="s">
        <v>370</v>
      </c>
      <c r="C35" s="141">
        <f t="shared" ref="C35:AF35" si="19">SUM(C36:C39)</f>
        <v>114</v>
      </c>
      <c r="D35" s="141">
        <f t="shared" si="19"/>
        <v>112608200</v>
      </c>
      <c r="E35" s="141">
        <f t="shared" si="19"/>
        <v>0</v>
      </c>
      <c r="F35" s="141">
        <f t="shared" si="19"/>
        <v>0</v>
      </c>
      <c r="G35" s="141">
        <f t="shared" si="19"/>
        <v>0</v>
      </c>
      <c r="H35" s="141">
        <f t="shared" si="19"/>
        <v>0</v>
      </c>
      <c r="I35" s="141">
        <f t="shared" si="19"/>
        <v>0</v>
      </c>
      <c r="J35" s="141">
        <f t="shared" si="19"/>
        <v>0</v>
      </c>
      <c r="K35" s="141">
        <f t="shared" si="19"/>
        <v>0</v>
      </c>
      <c r="L35" s="141">
        <f t="shared" si="19"/>
        <v>0</v>
      </c>
      <c r="M35" s="141">
        <f t="shared" si="19"/>
        <v>0</v>
      </c>
      <c r="N35" s="141">
        <f t="shared" si="19"/>
        <v>0</v>
      </c>
      <c r="O35" s="141">
        <f t="shared" si="19"/>
        <v>114</v>
      </c>
      <c r="P35" s="141">
        <f t="shared" si="19"/>
        <v>112608200</v>
      </c>
      <c r="Q35" s="141">
        <f t="shared" si="19"/>
        <v>114</v>
      </c>
      <c r="R35" s="141">
        <f t="shared" si="19"/>
        <v>112608200</v>
      </c>
      <c r="S35" s="141">
        <f t="shared" si="19"/>
        <v>0</v>
      </c>
      <c r="T35" s="141">
        <f t="shared" si="19"/>
        <v>0</v>
      </c>
      <c r="U35" s="141">
        <f t="shared" si="19"/>
        <v>0</v>
      </c>
      <c r="V35" s="141">
        <f t="shared" si="19"/>
        <v>0</v>
      </c>
      <c r="W35" s="141">
        <f t="shared" si="19"/>
        <v>0</v>
      </c>
      <c r="X35" s="141">
        <f t="shared" si="19"/>
        <v>0</v>
      </c>
      <c r="Y35" s="141">
        <f t="shared" si="19"/>
        <v>0</v>
      </c>
      <c r="Z35" s="141">
        <f t="shared" si="19"/>
        <v>0</v>
      </c>
      <c r="AA35" s="141">
        <f t="shared" si="19"/>
        <v>0</v>
      </c>
      <c r="AB35" s="141">
        <f t="shared" si="19"/>
        <v>0</v>
      </c>
      <c r="AC35" s="141">
        <f t="shared" si="19"/>
        <v>114</v>
      </c>
      <c r="AD35" s="141">
        <f t="shared" si="19"/>
        <v>112608200</v>
      </c>
      <c r="AE35" s="141">
        <f t="shared" si="19"/>
        <v>0</v>
      </c>
      <c r="AF35" s="141">
        <f t="shared" si="19"/>
        <v>0</v>
      </c>
    </row>
    <row r="36" spans="1:32" s="138" customFormat="1" ht="37.5" customHeight="1" x14ac:dyDescent="0.25">
      <c r="A36" s="136"/>
      <c r="B36" s="139" t="s">
        <v>359</v>
      </c>
      <c r="C36" s="373"/>
      <c r="D36" s="374"/>
      <c r="E36" s="374"/>
      <c r="F36" s="374"/>
      <c r="G36" s="374"/>
      <c r="H36" s="374"/>
      <c r="I36" s="373">
        <f t="shared" ref="I36:J39" si="20">E36+G36</f>
        <v>0</v>
      </c>
      <c r="J36" s="373">
        <f t="shared" si="20"/>
        <v>0</v>
      </c>
      <c r="K36" s="373"/>
      <c r="L36" s="373"/>
      <c r="M36" s="373"/>
      <c r="N36" s="373"/>
      <c r="O36" s="375"/>
      <c r="P36" s="375"/>
      <c r="Q36" s="375">
        <f t="shared" ref="Q36:R39" si="21">K36+M36+O36</f>
        <v>0</v>
      </c>
      <c r="R36" s="375">
        <f t="shared" si="21"/>
        <v>0</v>
      </c>
      <c r="S36" s="375"/>
      <c r="T36" s="375"/>
      <c r="U36" s="375"/>
      <c r="V36" s="375"/>
      <c r="W36" s="375"/>
      <c r="X36" s="375"/>
      <c r="Y36" s="375"/>
      <c r="Z36" s="375"/>
      <c r="AA36" s="375">
        <f t="shared" ref="AA36:AB39" si="22">S36+U36+W36+Y36</f>
        <v>0</v>
      </c>
      <c r="AB36" s="375">
        <f t="shared" si="22"/>
        <v>0</v>
      </c>
      <c r="AC36" s="375">
        <f t="shared" ref="AC36:AD39" si="23">Q36+AA36</f>
        <v>0</v>
      </c>
      <c r="AD36" s="375">
        <f t="shared" si="23"/>
        <v>0</v>
      </c>
      <c r="AE36" s="375">
        <f t="shared" ref="AE36:AF39" si="24">C36+I36-AC36</f>
        <v>0</v>
      </c>
      <c r="AF36" s="375">
        <f t="shared" si="24"/>
        <v>0</v>
      </c>
    </row>
    <row r="37" spans="1:32" s="138" customFormat="1" ht="37.5" customHeight="1" x14ac:dyDescent="0.25">
      <c r="A37" s="136"/>
      <c r="B37" s="140" t="s">
        <v>371</v>
      </c>
      <c r="C37" s="373">
        <v>106</v>
      </c>
      <c r="D37" s="374">
        <v>58514200</v>
      </c>
      <c r="E37" s="374"/>
      <c r="F37" s="374"/>
      <c r="G37" s="374"/>
      <c r="H37" s="374"/>
      <c r="I37" s="373">
        <f t="shared" si="20"/>
        <v>0</v>
      </c>
      <c r="J37" s="373">
        <f t="shared" si="20"/>
        <v>0</v>
      </c>
      <c r="K37" s="373"/>
      <c r="L37" s="373"/>
      <c r="M37" s="373"/>
      <c r="N37" s="373"/>
      <c r="O37" s="375">
        <v>106</v>
      </c>
      <c r="P37" s="375">
        <v>58514200</v>
      </c>
      <c r="Q37" s="375">
        <f t="shared" si="21"/>
        <v>106</v>
      </c>
      <c r="R37" s="375">
        <f>L37+N37+P37</f>
        <v>58514200</v>
      </c>
      <c r="S37" s="375"/>
      <c r="T37" s="375"/>
      <c r="U37" s="375"/>
      <c r="V37" s="375"/>
      <c r="W37" s="375"/>
      <c r="X37" s="375"/>
      <c r="Y37" s="375"/>
      <c r="Z37" s="375"/>
      <c r="AA37" s="375">
        <f t="shared" si="22"/>
        <v>0</v>
      </c>
      <c r="AB37" s="375">
        <f t="shared" si="22"/>
        <v>0</v>
      </c>
      <c r="AC37" s="375">
        <f t="shared" ref="AC37:AC38" si="25">Q37+AA37</f>
        <v>106</v>
      </c>
      <c r="AD37" s="375">
        <f t="shared" ref="AD37:AD38" si="26">R37+AB37</f>
        <v>58514200</v>
      </c>
      <c r="AE37" s="375">
        <f t="shared" si="24"/>
        <v>0</v>
      </c>
      <c r="AF37" s="375">
        <f t="shared" si="24"/>
        <v>0</v>
      </c>
    </row>
    <row r="38" spans="1:32" s="138" customFormat="1" ht="37.5" customHeight="1" x14ac:dyDescent="0.25">
      <c r="A38" s="136"/>
      <c r="B38" s="140" t="s">
        <v>360</v>
      </c>
      <c r="C38" s="373">
        <v>8</v>
      </c>
      <c r="D38" s="464">
        <v>54094000</v>
      </c>
      <c r="E38" s="374"/>
      <c r="F38" s="374"/>
      <c r="G38" s="374"/>
      <c r="H38" s="374"/>
      <c r="I38" s="373">
        <f t="shared" si="20"/>
        <v>0</v>
      </c>
      <c r="J38" s="373">
        <f t="shared" si="20"/>
        <v>0</v>
      </c>
      <c r="K38" s="373"/>
      <c r="L38" s="373"/>
      <c r="M38" s="373"/>
      <c r="N38" s="373"/>
      <c r="O38" s="375">
        <v>8</v>
      </c>
      <c r="P38" s="375">
        <v>54094000</v>
      </c>
      <c r="Q38" s="375">
        <f t="shared" si="21"/>
        <v>8</v>
      </c>
      <c r="R38" s="375">
        <f t="shared" si="21"/>
        <v>54094000</v>
      </c>
      <c r="S38" s="375"/>
      <c r="T38" s="375"/>
      <c r="U38" s="375"/>
      <c r="V38" s="375"/>
      <c r="W38" s="375"/>
      <c r="X38" s="375"/>
      <c r="Y38" s="375"/>
      <c r="Z38" s="375"/>
      <c r="AA38" s="375">
        <f t="shared" si="22"/>
        <v>0</v>
      </c>
      <c r="AB38" s="375">
        <f t="shared" si="22"/>
        <v>0</v>
      </c>
      <c r="AC38" s="375">
        <f t="shared" si="25"/>
        <v>8</v>
      </c>
      <c r="AD38" s="375">
        <f t="shared" si="26"/>
        <v>54094000</v>
      </c>
      <c r="AE38" s="375">
        <f t="shared" si="24"/>
        <v>0</v>
      </c>
      <c r="AF38" s="375">
        <f t="shared" si="24"/>
        <v>0</v>
      </c>
    </row>
    <row r="39" spans="1:32" s="138" customFormat="1" ht="37.5" customHeight="1" x14ac:dyDescent="0.25">
      <c r="A39" s="136"/>
      <c r="B39" s="373" t="s">
        <v>226</v>
      </c>
      <c r="C39" s="373"/>
      <c r="D39" s="374"/>
      <c r="E39" s="374"/>
      <c r="F39" s="374"/>
      <c r="G39" s="374"/>
      <c r="H39" s="374"/>
      <c r="I39" s="373">
        <f t="shared" si="20"/>
        <v>0</v>
      </c>
      <c r="J39" s="373">
        <f t="shared" si="20"/>
        <v>0</v>
      </c>
      <c r="K39" s="373"/>
      <c r="L39" s="373"/>
      <c r="M39" s="373"/>
      <c r="N39" s="373"/>
      <c r="O39" s="375"/>
      <c r="P39" s="375"/>
      <c r="Q39" s="375">
        <f t="shared" si="21"/>
        <v>0</v>
      </c>
      <c r="R39" s="375">
        <f t="shared" si="21"/>
        <v>0</v>
      </c>
      <c r="S39" s="375"/>
      <c r="T39" s="375"/>
      <c r="U39" s="375"/>
      <c r="V39" s="375"/>
      <c r="W39" s="375"/>
      <c r="X39" s="375"/>
      <c r="Y39" s="375"/>
      <c r="Z39" s="375"/>
      <c r="AA39" s="375">
        <f t="shared" si="22"/>
        <v>0</v>
      </c>
      <c r="AB39" s="375">
        <f t="shared" si="22"/>
        <v>0</v>
      </c>
      <c r="AC39" s="375">
        <f t="shared" si="23"/>
        <v>0</v>
      </c>
      <c r="AD39" s="375">
        <f t="shared" si="23"/>
        <v>0</v>
      </c>
      <c r="AE39" s="375">
        <f t="shared" si="24"/>
        <v>0</v>
      </c>
      <c r="AF39" s="375">
        <f t="shared" si="24"/>
        <v>0</v>
      </c>
    </row>
    <row r="40" spans="1:32" s="138" customFormat="1" ht="37.5" customHeight="1" x14ac:dyDescent="0.25">
      <c r="A40" s="139"/>
      <c r="B40" s="373"/>
      <c r="C40" s="373"/>
      <c r="D40" s="374"/>
      <c r="E40" s="374"/>
      <c r="F40" s="374"/>
      <c r="G40" s="374"/>
      <c r="H40" s="374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</row>
    <row r="41" spans="1:32" s="138" customFormat="1" ht="37.5" customHeight="1" x14ac:dyDescent="0.25">
      <c r="A41" s="136" t="s">
        <v>372</v>
      </c>
      <c r="B41" s="137" t="s">
        <v>361</v>
      </c>
      <c r="C41" s="141">
        <f t="shared" ref="C41:AF41" si="27">SUM(C42)</f>
        <v>0</v>
      </c>
      <c r="D41" s="141">
        <f t="shared" si="27"/>
        <v>0</v>
      </c>
      <c r="E41" s="141">
        <f t="shared" si="27"/>
        <v>0</v>
      </c>
      <c r="F41" s="142">
        <f t="shared" si="27"/>
        <v>0</v>
      </c>
      <c r="G41" s="141">
        <f t="shared" si="27"/>
        <v>0</v>
      </c>
      <c r="H41" s="142">
        <f t="shared" si="27"/>
        <v>0</v>
      </c>
      <c r="I41" s="141">
        <f t="shared" si="27"/>
        <v>0</v>
      </c>
      <c r="J41" s="142">
        <f t="shared" si="27"/>
        <v>0</v>
      </c>
      <c r="K41" s="141">
        <f t="shared" si="27"/>
        <v>0</v>
      </c>
      <c r="L41" s="142">
        <f t="shared" si="27"/>
        <v>0</v>
      </c>
      <c r="M41" s="141">
        <f t="shared" si="27"/>
        <v>0</v>
      </c>
      <c r="N41" s="142">
        <f t="shared" si="27"/>
        <v>0</v>
      </c>
      <c r="O41" s="141">
        <f t="shared" si="27"/>
        <v>0</v>
      </c>
      <c r="P41" s="142">
        <f t="shared" si="27"/>
        <v>0</v>
      </c>
      <c r="Q41" s="141">
        <f t="shared" si="27"/>
        <v>0</v>
      </c>
      <c r="R41" s="142">
        <f t="shared" si="27"/>
        <v>0</v>
      </c>
      <c r="S41" s="141">
        <f t="shared" si="27"/>
        <v>0</v>
      </c>
      <c r="T41" s="142">
        <f t="shared" si="27"/>
        <v>0</v>
      </c>
      <c r="U41" s="141">
        <f t="shared" si="27"/>
        <v>0</v>
      </c>
      <c r="V41" s="142">
        <f t="shared" si="27"/>
        <v>0</v>
      </c>
      <c r="W41" s="141">
        <f t="shared" si="27"/>
        <v>0</v>
      </c>
      <c r="X41" s="142">
        <f t="shared" si="27"/>
        <v>0</v>
      </c>
      <c r="Y41" s="141">
        <f t="shared" si="27"/>
        <v>0</v>
      </c>
      <c r="Z41" s="142">
        <f t="shared" si="27"/>
        <v>0</v>
      </c>
      <c r="AA41" s="141">
        <f t="shared" si="27"/>
        <v>0</v>
      </c>
      <c r="AB41" s="142">
        <f t="shared" si="27"/>
        <v>0</v>
      </c>
      <c r="AC41" s="141">
        <f t="shared" si="27"/>
        <v>0</v>
      </c>
      <c r="AD41" s="142">
        <f t="shared" si="27"/>
        <v>0</v>
      </c>
      <c r="AE41" s="141">
        <f t="shared" si="27"/>
        <v>0</v>
      </c>
      <c r="AF41" s="142">
        <f t="shared" si="27"/>
        <v>0</v>
      </c>
    </row>
    <row r="42" spans="1:32" s="138" customFormat="1" ht="37.5" customHeight="1" x14ac:dyDescent="0.25">
      <c r="A42" s="143"/>
      <c r="B42" s="144" t="s">
        <v>361</v>
      </c>
      <c r="C42" s="373"/>
      <c r="D42" s="374"/>
      <c r="E42" s="374"/>
      <c r="F42" s="374"/>
      <c r="G42" s="374"/>
      <c r="H42" s="374"/>
      <c r="I42" s="373">
        <f>E42+G42</f>
        <v>0</v>
      </c>
      <c r="J42" s="373">
        <f>F42+H42</f>
        <v>0</v>
      </c>
      <c r="K42" s="373"/>
      <c r="L42" s="373"/>
      <c r="M42" s="373"/>
      <c r="N42" s="373"/>
      <c r="O42" s="375"/>
      <c r="P42" s="375"/>
      <c r="Q42" s="375">
        <f>K42+M42+O42</f>
        <v>0</v>
      </c>
      <c r="R42" s="375">
        <f>L42+N42+P42</f>
        <v>0</v>
      </c>
      <c r="S42" s="375"/>
      <c r="T42" s="375"/>
      <c r="U42" s="375"/>
      <c r="V42" s="375"/>
      <c r="W42" s="375"/>
      <c r="X42" s="375"/>
      <c r="Y42" s="375"/>
      <c r="Z42" s="375"/>
      <c r="AA42" s="375">
        <f>S42+U42+W42+Y42</f>
        <v>0</v>
      </c>
      <c r="AB42" s="375">
        <f>T42+V42+X42+Z42</f>
        <v>0</v>
      </c>
      <c r="AC42" s="375">
        <f>Q42+AA42</f>
        <v>0</v>
      </c>
      <c r="AD42" s="375">
        <f>R42+AB42</f>
        <v>0</v>
      </c>
      <c r="AE42" s="375">
        <f>C42+I42-AC42</f>
        <v>0</v>
      </c>
      <c r="AF42" s="375">
        <f>D42+J42-AD42</f>
        <v>0</v>
      </c>
    </row>
    <row r="43" spans="1:32" s="150" customFormat="1" ht="37.5" customHeight="1" x14ac:dyDescent="0.25">
      <c r="A43" s="145"/>
      <c r="B43" s="146"/>
      <c r="C43" s="147"/>
      <c r="D43" s="148"/>
      <c r="E43" s="148"/>
      <c r="F43" s="148"/>
      <c r="G43" s="148"/>
      <c r="H43" s="148"/>
      <c r="I43" s="147"/>
      <c r="J43" s="147"/>
      <c r="K43" s="147"/>
      <c r="L43" s="147"/>
      <c r="M43" s="147"/>
      <c r="N43" s="147"/>
      <c r="O43" s="149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</row>
    <row r="44" spans="1:32" s="154" customFormat="1" ht="37.5" customHeight="1" x14ac:dyDescent="0.25">
      <c r="A44" s="151"/>
      <c r="B44" s="152" t="s">
        <v>362</v>
      </c>
      <c r="C44" s="153">
        <f t="shared" ref="C44:AF44" si="28">C11+C14+C25+C29+C35+C41</f>
        <v>7190</v>
      </c>
      <c r="D44" s="153">
        <f t="shared" si="28"/>
        <v>11016333146</v>
      </c>
      <c r="E44" s="153">
        <f t="shared" si="28"/>
        <v>0</v>
      </c>
      <c r="F44" s="153">
        <f t="shared" si="28"/>
        <v>0</v>
      </c>
      <c r="G44" s="153">
        <f t="shared" si="28"/>
        <v>0</v>
      </c>
      <c r="H44" s="153">
        <f t="shared" si="28"/>
        <v>0</v>
      </c>
      <c r="I44" s="153">
        <f t="shared" si="28"/>
        <v>0</v>
      </c>
      <c r="J44" s="153">
        <f t="shared" si="28"/>
        <v>0</v>
      </c>
      <c r="K44" s="153">
        <f t="shared" si="28"/>
        <v>0</v>
      </c>
      <c r="L44" s="153">
        <f t="shared" si="28"/>
        <v>0</v>
      </c>
      <c r="M44" s="153">
        <f t="shared" si="28"/>
        <v>0</v>
      </c>
      <c r="N44" s="153">
        <f t="shared" si="28"/>
        <v>0</v>
      </c>
      <c r="O44" s="153">
        <f t="shared" si="28"/>
        <v>7140</v>
      </c>
      <c r="P44" s="153">
        <f t="shared" si="28"/>
        <v>7936839790</v>
      </c>
      <c r="Q44" s="153">
        <f t="shared" si="28"/>
        <v>7140</v>
      </c>
      <c r="R44" s="153">
        <f t="shared" si="28"/>
        <v>7936839790</v>
      </c>
      <c r="S44" s="153">
        <f t="shared" si="28"/>
        <v>0</v>
      </c>
      <c r="T44" s="153">
        <f t="shared" si="28"/>
        <v>0</v>
      </c>
      <c r="U44" s="153">
        <f t="shared" si="28"/>
        <v>0</v>
      </c>
      <c r="V44" s="153">
        <f t="shared" si="28"/>
        <v>0</v>
      </c>
      <c r="W44" s="153">
        <f t="shared" si="28"/>
        <v>0</v>
      </c>
      <c r="X44" s="153">
        <f t="shared" si="28"/>
        <v>0</v>
      </c>
      <c r="Y44" s="153">
        <f t="shared" si="28"/>
        <v>0</v>
      </c>
      <c r="Z44" s="153">
        <f t="shared" si="28"/>
        <v>0</v>
      </c>
      <c r="AA44" s="153">
        <f t="shared" si="28"/>
        <v>0</v>
      </c>
      <c r="AB44" s="153">
        <f t="shared" si="28"/>
        <v>0</v>
      </c>
      <c r="AC44" s="153">
        <f t="shared" si="28"/>
        <v>7140</v>
      </c>
      <c r="AD44" s="153">
        <f t="shared" si="28"/>
        <v>7936839790</v>
      </c>
      <c r="AE44" s="153">
        <f t="shared" si="28"/>
        <v>50</v>
      </c>
      <c r="AF44" s="153">
        <f t="shared" si="28"/>
        <v>3079493356</v>
      </c>
    </row>
    <row r="45" spans="1:32" ht="22.5" customHeight="1" x14ac:dyDescent="0.25">
      <c r="C45" s="196"/>
      <c r="D45" s="196">
        <f>NERACA!G109</f>
        <v>11016333146</v>
      </c>
      <c r="E45" s="196"/>
      <c r="F45" s="196"/>
      <c r="G45" s="196"/>
      <c r="H45" s="196"/>
      <c r="I45" s="196"/>
      <c r="J45" s="196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</row>
    <row r="46" spans="1:32" ht="22.5" customHeight="1" x14ac:dyDescent="0.25">
      <c r="C46" s="196"/>
      <c r="D46" s="196">
        <f>+D44-D45</f>
        <v>0</v>
      </c>
      <c r="E46" s="196"/>
      <c r="F46" s="196"/>
      <c r="G46" s="196"/>
      <c r="H46" s="196"/>
      <c r="I46" s="196"/>
      <c r="J46" s="196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</row>
    <row r="47" spans="1:32" ht="22.5" customHeight="1" x14ac:dyDescent="0.25">
      <c r="C47" s="196"/>
      <c r="D47" s="196"/>
      <c r="E47" s="196"/>
      <c r="F47" s="196"/>
      <c r="G47" s="196"/>
      <c r="H47" s="196"/>
      <c r="I47" s="196"/>
      <c r="J47" s="196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</row>
    <row r="48" spans="1:32" ht="20.25" x14ac:dyDescent="0.25">
      <c r="V48" s="775"/>
      <c r="W48" s="775"/>
      <c r="X48" s="775"/>
      <c r="Y48" s="775"/>
      <c r="Z48" s="775"/>
      <c r="AA48" s="775"/>
      <c r="AB48" s="775"/>
      <c r="AC48" s="775"/>
      <c r="AD48" s="775"/>
      <c r="AE48" s="775"/>
    </row>
    <row r="49" spans="22:31" ht="20.25" x14ac:dyDescent="0.25">
      <c r="V49" s="775"/>
      <c r="W49" s="775"/>
      <c r="X49" s="775"/>
      <c r="Y49" s="775"/>
      <c r="Z49" s="775"/>
      <c r="AA49" s="775"/>
      <c r="AB49" s="775"/>
      <c r="AC49" s="775"/>
      <c r="AD49" s="775"/>
      <c r="AE49" s="775"/>
    </row>
    <row r="50" spans="22:31" ht="20.25" x14ac:dyDescent="0.25"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</row>
    <row r="51" spans="22:31" ht="20.25" x14ac:dyDescent="0.25"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</row>
    <row r="52" spans="22:31" ht="20.25" x14ac:dyDescent="0.3">
      <c r="Y52" s="382"/>
      <c r="Z52" s="382"/>
      <c r="AA52" s="382"/>
      <c r="AB52" s="382"/>
      <c r="AC52" s="383"/>
    </row>
    <row r="53" spans="22:31" ht="20.25" x14ac:dyDescent="0.3">
      <c r="Y53" s="382"/>
      <c r="Z53" s="382"/>
      <c r="AA53" s="382"/>
      <c r="AB53" s="382"/>
      <c r="AC53" s="383"/>
    </row>
    <row r="54" spans="22:31" ht="20.25" x14ac:dyDescent="0.25">
      <c r="V54" s="776"/>
      <c r="W54" s="776"/>
      <c r="X54" s="776"/>
      <c r="Y54" s="776"/>
      <c r="Z54" s="776"/>
      <c r="AA54" s="776"/>
      <c r="AB54" s="776"/>
      <c r="AC54" s="776"/>
      <c r="AD54" s="776"/>
      <c r="AE54" s="776"/>
    </row>
    <row r="55" spans="22:31" ht="20.25" x14ac:dyDescent="0.25">
      <c r="V55" s="774"/>
      <c r="W55" s="774"/>
      <c r="X55" s="774"/>
      <c r="Y55" s="774"/>
      <c r="Z55" s="774"/>
      <c r="AA55" s="774"/>
      <c r="AB55" s="774"/>
      <c r="AC55" s="774"/>
      <c r="AD55" s="774"/>
      <c r="AE55" s="774"/>
    </row>
    <row r="56" spans="22:31" ht="20.25" x14ac:dyDescent="0.25">
      <c r="V56" s="774"/>
      <c r="W56" s="774"/>
      <c r="X56" s="774"/>
      <c r="Y56" s="774"/>
      <c r="Z56" s="774"/>
      <c r="AA56" s="774"/>
      <c r="AB56" s="774"/>
      <c r="AC56" s="774"/>
      <c r="AD56" s="774"/>
      <c r="AE56" s="774"/>
    </row>
  </sheetData>
  <sheetProtection algorithmName="SHA-512" hashValue="9YkgFSgI9Hi6B3CQ/1XodidBE7PO7XeRtmGRBVdu29uSogStJin6a03kYBmOoAXdeuIOQEG+pnqTzp8c7FIZIg==" saltValue="M4ONOGCrMlXWM6Wp0aGcBA==" spinCount="100000" sheet="1" objects="1" scenarios="1"/>
  <mergeCells count="41">
    <mergeCell ref="V56:AE56"/>
    <mergeCell ref="K9:L9"/>
    <mergeCell ref="O9:P9"/>
    <mergeCell ref="S9:T9"/>
    <mergeCell ref="U9:V9"/>
    <mergeCell ref="Y9:Z9"/>
    <mergeCell ref="AC9:AD9"/>
    <mergeCell ref="AE9:AF9"/>
    <mergeCell ref="V48:AE48"/>
    <mergeCell ref="V49:AE49"/>
    <mergeCell ref="V54:AE54"/>
    <mergeCell ref="V55:AE55"/>
    <mergeCell ref="W9:X9"/>
    <mergeCell ref="AA9:AB9"/>
    <mergeCell ref="AD6:AD8"/>
    <mergeCell ref="AE6:AE8"/>
    <mergeCell ref="S7:AB7"/>
    <mergeCell ref="K6:AB6"/>
    <mergeCell ref="C9:D9"/>
    <mergeCell ref="E9:F9"/>
    <mergeCell ref="G9:H9"/>
    <mergeCell ref="I9:J9"/>
    <mergeCell ref="K7:R7"/>
    <mergeCell ref="Q9:R9"/>
    <mergeCell ref="M9:N9"/>
    <mergeCell ref="A1:AF1"/>
    <mergeCell ref="A2:AF2"/>
    <mergeCell ref="A3:AF3"/>
    <mergeCell ref="A6:A8"/>
    <mergeCell ref="B6:B8"/>
    <mergeCell ref="C6:C8"/>
    <mergeCell ref="D6:D8"/>
    <mergeCell ref="E6:H6"/>
    <mergeCell ref="I6:I8"/>
    <mergeCell ref="J6:J8"/>
    <mergeCell ref="AF6:AF8"/>
    <mergeCell ref="E7:E8"/>
    <mergeCell ref="F7:F8"/>
    <mergeCell ref="G7:G8"/>
    <mergeCell ref="H7:H8"/>
    <mergeCell ref="AC6:AC8"/>
  </mergeCells>
  <printOptions horizontalCentered="1"/>
  <pageMargins left="0" right="0" top="0.62992125984251968" bottom="0.23622047244094491" header="0.31496062992125984" footer="0.31496062992125984"/>
  <pageSetup paperSize="258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</sheetPr>
  <dimension ref="A2:P60"/>
  <sheetViews>
    <sheetView view="pageBreakPreview" zoomScale="60" zoomScaleNormal="85" workbookViewId="0">
      <selection activeCell="I29" sqref="I29"/>
    </sheetView>
  </sheetViews>
  <sheetFormatPr defaultColWidth="9.140625" defaultRowHeight="15" x14ac:dyDescent="0.25"/>
  <cols>
    <col min="1" max="1" width="6.140625" style="409" customWidth="1"/>
    <col min="2" max="2" width="31.85546875" style="409" customWidth="1"/>
    <col min="3" max="7" width="18.85546875" style="409" customWidth="1"/>
    <col min="8" max="8" width="16.85546875" style="409" customWidth="1"/>
    <col min="9" max="9" width="19" style="409" customWidth="1"/>
    <col min="10" max="10" width="21.42578125" style="409" customWidth="1"/>
    <col min="11" max="11" width="22.7109375" style="409" customWidth="1"/>
    <col min="12" max="12" width="18.85546875" style="409" customWidth="1"/>
    <col min="13" max="13" width="19.42578125" style="409" customWidth="1"/>
    <col min="14" max="14" width="15.28515625" style="409" bestFit="1" customWidth="1"/>
    <col min="15" max="16" width="14.28515625" style="409" bestFit="1" customWidth="1"/>
    <col min="17" max="16384" width="9.140625" style="409"/>
  </cols>
  <sheetData>
    <row r="2" spans="1:16" ht="15" customHeight="1" x14ac:dyDescent="0.25">
      <c r="A2" s="777" t="s">
        <v>849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16" ht="15.75" x14ac:dyDescent="0.25">
      <c r="B3" s="410"/>
    </row>
    <row r="4" spans="1:16" s="411" customFormat="1" x14ac:dyDescent="0.25">
      <c r="A4" s="411" t="s">
        <v>752</v>
      </c>
      <c r="B4" s="411" t="s">
        <v>1146</v>
      </c>
    </row>
    <row r="5" spans="1:16" s="411" customFormat="1" ht="8.25" customHeight="1" x14ac:dyDescent="0.25"/>
    <row r="6" spans="1:16" s="412" customFormat="1" x14ac:dyDescent="0.25">
      <c r="A6" s="778" t="s">
        <v>320</v>
      </c>
      <c r="B6" s="778" t="s">
        <v>753</v>
      </c>
      <c r="C6" s="779" t="s">
        <v>850</v>
      </c>
      <c r="D6" s="780" t="s">
        <v>754</v>
      </c>
      <c r="E6" s="782" t="s">
        <v>755</v>
      </c>
      <c r="F6" s="783"/>
      <c r="G6" s="780" t="s">
        <v>756</v>
      </c>
      <c r="H6" s="782" t="s">
        <v>1148</v>
      </c>
      <c r="I6" s="783"/>
      <c r="J6" s="780" t="s">
        <v>758</v>
      </c>
      <c r="K6" s="780" t="s">
        <v>240</v>
      </c>
      <c r="L6" s="779" t="s">
        <v>851</v>
      </c>
    </row>
    <row r="7" spans="1:16" s="412" customFormat="1" x14ac:dyDescent="0.25">
      <c r="A7" s="778"/>
      <c r="B7" s="778"/>
      <c r="C7" s="779"/>
      <c r="D7" s="781"/>
      <c r="E7" s="413" t="s">
        <v>760</v>
      </c>
      <c r="F7" s="413" t="s">
        <v>327</v>
      </c>
      <c r="G7" s="781"/>
      <c r="H7" s="413" t="s">
        <v>761</v>
      </c>
      <c r="I7" s="413" t="s">
        <v>762</v>
      </c>
      <c r="J7" s="781"/>
      <c r="K7" s="781"/>
      <c r="L7" s="779"/>
    </row>
    <row r="8" spans="1:16" s="418" customFormat="1" x14ac:dyDescent="0.25">
      <c r="A8" s="414"/>
      <c r="B8" s="414"/>
      <c r="C8" s="415"/>
      <c r="D8" s="416"/>
      <c r="E8" s="416"/>
      <c r="F8" s="416"/>
      <c r="G8" s="416"/>
      <c r="H8" s="417"/>
      <c r="I8" s="417"/>
      <c r="J8" s="416"/>
      <c r="K8" s="416"/>
      <c r="L8" s="416"/>
    </row>
    <row r="9" spans="1:16" x14ac:dyDescent="0.25">
      <c r="A9" s="419">
        <v>1</v>
      </c>
      <c r="B9" s="420" t="s">
        <v>763</v>
      </c>
      <c r="C9" s="421">
        <f>'ASET TETAP'!AJ14</f>
        <v>7047009623</v>
      </c>
      <c r="D9" s="421">
        <v>5005324873</v>
      </c>
      <c r="E9" s="421"/>
      <c r="F9" s="421"/>
      <c r="G9" s="421">
        <f>+D9+E9-F9</f>
        <v>5005324873</v>
      </c>
      <c r="H9" s="421">
        <v>0</v>
      </c>
      <c r="I9" s="421">
        <v>296448000</v>
      </c>
      <c r="J9" s="421">
        <v>459003562.5</v>
      </c>
      <c r="K9" s="421">
        <f t="shared" ref="K9:K23" si="0">+G9+H9-I9+J9</f>
        <v>5167880435.5</v>
      </c>
      <c r="L9" s="421">
        <f t="shared" ref="L9:L23" si="1">+C9-K9</f>
        <v>1879129187.5</v>
      </c>
      <c r="N9" s="505">
        <v>4708876873</v>
      </c>
      <c r="O9" s="564">
        <f>+D9-N9</f>
        <v>296448000</v>
      </c>
      <c r="P9" s="564">
        <f>+G9-N9</f>
        <v>296448000</v>
      </c>
    </row>
    <row r="10" spans="1:16" x14ac:dyDescent="0.25">
      <c r="A10" s="419">
        <v>2</v>
      </c>
      <c r="B10" s="420" t="s">
        <v>764</v>
      </c>
      <c r="C10" s="421">
        <f>'ASET TETAP'!AJ15</f>
        <v>49785316086</v>
      </c>
      <c r="D10" s="421">
        <v>36871271293.5</v>
      </c>
      <c r="E10" s="421"/>
      <c r="F10" s="421"/>
      <c r="G10" s="421">
        <f t="shared" ref="G10:G23" si="2">+D10+E10-F10</f>
        <v>36871271293.5</v>
      </c>
      <c r="H10" s="586">
        <f>1423943675+1241747382.25</f>
        <v>2665691057.25</v>
      </c>
      <c r="I10" s="421">
        <v>5649501846</v>
      </c>
      <c r="J10" s="421">
        <v>3396011485.75</v>
      </c>
      <c r="K10" s="421">
        <f t="shared" si="0"/>
        <v>37283471990.5</v>
      </c>
      <c r="L10" s="421">
        <f t="shared" si="1"/>
        <v>12501844095.5</v>
      </c>
      <c r="N10" s="505">
        <v>34968430117.5</v>
      </c>
      <c r="O10" s="564">
        <f t="shared" ref="O10:O23" si="3">+D10-N10</f>
        <v>1902841176</v>
      </c>
      <c r="P10" s="564">
        <f t="shared" ref="P10:P23" si="4">+G10-N10</f>
        <v>1902841176</v>
      </c>
    </row>
    <row r="11" spans="1:16" x14ac:dyDescent="0.25">
      <c r="A11" s="419">
        <v>3</v>
      </c>
      <c r="B11" s="420" t="s">
        <v>765</v>
      </c>
      <c r="C11" s="421">
        <f>'ASET TETAP'!AJ16</f>
        <v>98898000</v>
      </c>
      <c r="D11" s="421">
        <v>98898000</v>
      </c>
      <c r="E11" s="421"/>
      <c r="F11" s="421"/>
      <c r="G11" s="421">
        <f t="shared" si="2"/>
        <v>98898000</v>
      </c>
      <c r="H11" s="586"/>
      <c r="I11" s="421">
        <v>0</v>
      </c>
      <c r="J11" s="421">
        <v>0</v>
      </c>
      <c r="K11" s="421">
        <f t="shared" si="0"/>
        <v>98898000</v>
      </c>
      <c r="L11" s="421">
        <f t="shared" si="1"/>
        <v>0</v>
      </c>
      <c r="N11" s="505">
        <v>98898000</v>
      </c>
      <c r="O11" s="564">
        <f t="shared" si="3"/>
        <v>0</v>
      </c>
      <c r="P11" s="564">
        <f t="shared" si="4"/>
        <v>0</v>
      </c>
    </row>
    <row r="12" spans="1:16" x14ac:dyDescent="0.25">
      <c r="A12" s="419">
        <v>4</v>
      </c>
      <c r="B12" s="420" t="s">
        <v>766</v>
      </c>
      <c r="C12" s="421">
        <f>'ASET TETAP'!AJ17</f>
        <v>0</v>
      </c>
      <c r="D12" s="421">
        <v>0</v>
      </c>
      <c r="E12" s="421"/>
      <c r="F12" s="421"/>
      <c r="G12" s="421">
        <f t="shared" si="2"/>
        <v>0</v>
      </c>
      <c r="H12" s="586"/>
      <c r="I12" s="421">
        <v>0</v>
      </c>
      <c r="J12" s="421">
        <v>0</v>
      </c>
      <c r="K12" s="421">
        <f t="shared" si="0"/>
        <v>0</v>
      </c>
      <c r="L12" s="421">
        <f t="shared" si="1"/>
        <v>0</v>
      </c>
      <c r="N12" s="505">
        <v>0</v>
      </c>
      <c r="O12" s="564">
        <f t="shared" si="3"/>
        <v>0</v>
      </c>
      <c r="P12" s="564">
        <f t="shared" si="4"/>
        <v>0</v>
      </c>
    </row>
    <row r="13" spans="1:16" ht="25.5" x14ac:dyDescent="0.25">
      <c r="A13" s="419">
        <v>5</v>
      </c>
      <c r="B13" s="420" t="s">
        <v>312</v>
      </c>
      <c r="C13" s="421">
        <f>'ASET TETAP'!AJ18</f>
        <v>54088973250.001625</v>
      </c>
      <c r="D13" s="421">
        <v>52696931500.150002</v>
      </c>
      <c r="E13" s="421"/>
      <c r="F13" s="421"/>
      <c r="G13" s="421">
        <f t="shared" si="2"/>
        <v>52696931500.150002</v>
      </c>
      <c r="H13" s="586">
        <f>7224999+36892000</f>
        <v>44116999</v>
      </c>
      <c r="I13" s="421">
        <v>9517612213.7999992</v>
      </c>
      <c r="J13" s="421">
        <v>4251644754.9499998</v>
      </c>
      <c r="K13" s="421">
        <f t="shared" si="0"/>
        <v>47475081040.300003</v>
      </c>
      <c r="L13" s="421">
        <f t="shared" si="1"/>
        <v>6613892209.701622</v>
      </c>
      <c r="N13" s="505">
        <v>43308880851.349998</v>
      </c>
      <c r="O13" s="564">
        <f t="shared" si="3"/>
        <v>9388050648.8000031</v>
      </c>
      <c r="P13" s="564">
        <f t="shared" si="4"/>
        <v>9388050648.8000031</v>
      </c>
    </row>
    <row r="14" spans="1:16" x14ac:dyDescent="0.25">
      <c r="A14" s="419">
        <v>6</v>
      </c>
      <c r="B14" s="420" t="s">
        <v>313</v>
      </c>
      <c r="C14" s="421">
        <f>'ASET TETAP'!AJ19</f>
        <v>19394731778</v>
      </c>
      <c r="D14" s="421">
        <v>18660200124.200001</v>
      </c>
      <c r="E14" s="421"/>
      <c r="F14" s="421"/>
      <c r="G14" s="421">
        <f t="shared" si="2"/>
        <v>18660200124.200001</v>
      </c>
      <c r="H14" s="421">
        <v>0</v>
      </c>
      <c r="I14" s="421">
        <v>1095163985.2</v>
      </c>
      <c r="J14" s="421">
        <v>746302159</v>
      </c>
      <c r="K14" s="421">
        <f t="shared" si="0"/>
        <v>18311338298</v>
      </c>
      <c r="L14" s="421">
        <f t="shared" si="1"/>
        <v>1083393480</v>
      </c>
      <c r="N14" s="505">
        <v>17569886139</v>
      </c>
      <c r="O14" s="564">
        <f t="shared" si="3"/>
        <v>1090313985.2000008</v>
      </c>
      <c r="P14" s="564">
        <f t="shared" si="4"/>
        <v>1090313985.2000008</v>
      </c>
    </row>
    <row r="15" spans="1:16" x14ac:dyDescent="0.25">
      <c r="A15" s="419">
        <v>7</v>
      </c>
      <c r="B15" s="420" t="s">
        <v>322</v>
      </c>
      <c r="C15" s="421">
        <f>'ASET TETAP'!AJ20</f>
        <v>257615000</v>
      </c>
      <c r="D15" s="421">
        <v>239621000</v>
      </c>
      <c r="E15" s="421"/>
      <c r="F15" s="421"/>
      <c r="G15" s="421">
        <f t="shared" si="2"/>
        <v>239621000</v>
      </c>
      <c r="H15" s="421">
        <v>0</v>
      </c>
      <c r="I15" s="421">
        <v>0</v>
      </c>
      <c r="J15" s="421">
        <v>7908000</v>
      </c>
      <c r="K15" s="421">
        <f t="shared" si="0"/>
        <v>247529000</v>
      </c>
      <c r="L15" s="421">
        <f t="shared" si="1"/>
        <v>10086000</v>
      </c>
      <c r="N15" s="505">
        <v>239621000</v>
      </c>
      <c r="O15" s="564">
        <f t="shared" si="3"/>
        <v>0</v>
      </c>
      <c r="P15" s="564">
        <f t="shared" si="4"/>
        <v>0</v>
      </c>
    </row>
    <row r="16" spans="1:16" x14ac:dyDescent="0.25">
      <c r="A16" s="419">
        <v>8</v>
      </c>
      <c r="B16" s="420" t="s">
        <v>314</v>
      </c>
      <c r="C16" s="421">
        <f>'ASET TETAP'!AJ21</f>
        <v>0</v>
      </c>
      <c r="D16" s="421">
        <v>0</v>
      </c>
      <c r="E16" s="421"/>
      <c r="F16" s="421"/>
      <c r="G16" s="421">
        <f t="shared" si="2"/>
        <v>0</v>
      </c>
      <c r="H16" s="421">
        <v>0</v>
      </c>
      <c r="I16" s="421">
        <v>0</v>
      </c>
      <c r="J16" s="421">
        <v>0</v>
      </c>
      <c r="K16" s="421">
        <f t="shared" si="0"/>
        <v>0</v>
      </c>
      <c r="L16" s="421">
        <f t="shared" si="1"/>
        <v>0</v>
      </c>
      <c r="N16" s="505">
        <v>0</v>
      </c>
      <c r="O16" s="564">
        <f t="shared" si="3"/>
        <v>0</v>
      </c>
      <c r="P16" s="564">
        <f t="shared" si="4"/>
        <v>0</v>
      </c>
    </row>
    <row r="17" spans="1:16" x14ac:dyDescent="0.25">
      <c r="A17" s="419">
        <v>9</v>
      </c>
      <c r="B17" s="420" t="s">
        <v>315</v>
      </c>
      <c r="C17" s="421">
        <f>'ASET TETAP'!AJ22</f>
        <v>1265031550</v>
      </c>
      <c r="D17" s="421">
        <v>1242231550</v>
      </c>
      <c r="E17" s="421"/>
      <c r="F17" s="421"/>
      <c r="G17" s="421">
        <f t="shared" si="2"/>
        <v>1242231550</v>
      </c>
      <c r="H17" s="421">
        <v>0</v>
      </c>
      <c r="I17" s="421">
        <v>0</v>
      </c>
      <c r="J17" s="421">
        <v>5700000</v>
      </c>
      <c r="K17" s="421">
        <f t="shared" si="0"/>
        <v>1247931550</v>
      </c>
      <c r="L17" s="421">
        <f t="shared" si="1"/>
        <v>17100000</v>
      </c>
      <c r="M17" s="578">
        <f>SUM(K9:K17)</f>
        <v>109832130314.3</v>
      </c>
      <c r="N17" s="505">
        <v>1242231550</v>
      </c>
      <c r="O17" s="564">
        <f t="shared" si="3"/>
        <v>0</v>
      </c>
      <c r="P17" s="564">
        <f t="shared" si="4"/>
        <v>0</v>
      </c>
    </row>
    <row r="18" spans="1:16" x14ac:dyDescent="0.25">
      <c r="A18" s="419">
        <v>10</v>
      </c>
      <c r="B18" s="420" t="s">
        <v>324</v>
      </c>
      <c r="C18" s="421">
        <f>'ASET TETAP'!AJ25</f>
        <v>100883135170</v>
      </c>
      <c r="D18" s="421">
        <v>45869081439.410004</v>
      </c>
      <c r="E18" s="586">
        <v>2242.7999954223601</v>
      </c>
      <c r="F18" s="421"/>
      <c r="G18" s="421">
        <f t="shared" si="2"/>
        <v>45869083682.209999</v>
      </c>
      <c r="H18" s="421">
        <v>0</v>
      </c>
      <c r="I18" s="421">
        <v>563190999.24000001</v>
      </c>
      <c r="J18" s="421">
        <v>2021658907.73</v>
      </c>
      <c r="K18" s="421">
        <f t="shared" si="0"/>
        <v>47327551590.700005</v>
      </c>
      <c r="L18" s="421">
        <f t="shared" si="1"/>
        <v>53555583579.299995</v>
      </c>
      <c r="N18" s="505">
        <v>45305892682.970001</v>
      </c>
      <c r="O18" s="564">
        <f t="shared" si="3"/>
        <v>563188756.44000244</v>
      </c>
      <c r="P18" s="564">
        <f t="shared" si="4"/>
        <v>563190999.23999786</v>
      </c>
    </row>
    <row r="19" spans="1:16" x14ac:dyDescent="0.25">
      <c r="A19" s="419">
        <v>11</v>
      </c>
      <c r="B19" s="420" t="s">
        <v>767</v>
      </c>
      <c r="C19" s="421">
        <f>'ASET TETAP'!AJ26</f>
        <v>0</v>
      </c>
      <c r="D19" s="421">
        <v>0</v>
      </c>
      <c r="E19" s="421"/>
      <c r="F19" s="421"/>
      <c r="G19" s="421">
        <f t="shared" si="2"/>
        <v>0</v>
      </c>
      <c r="H19" s="421">
        <v>0</v>
      </c>
      <c r="I19" s="421">
        <v>0</v>
      </c>
      <c r="J19" s="421">
        <v>0</v>
      </c>
      <c r="K19" s="421">
        <f t="shared" si="0"/>
        <v>0</v>
      </c>
      <c r="L19" s="421">
        <f t="shared" si="1"/>
        <v>0</v>
      </c>
      <c r="N19" s="505">
        <v>0</v>
      </c>
      <c r="O19" s="564">
        <f t="shared" si="3"/>
        <v>0</v>
      </c>
      <c r="P19" s="564">
        <f t="shared" si="4"/>
        <v>0</v>
      </c>
    </row>
    <row r="20" spans="1:16" x14ac:dyDescent="0.25">
      <c r="A20" s="419">
        <v>12</v>
      </c>
      <c r="B20" s="420" t="s">
        <v>316</v>
      </c>
      <c r="C20" s="421">
        <f>'ASET TETAP'!AJ29</f>
        <v>0</v>
      </c>
      <c r="D20" s="421">
        <v>0</v>
      </c>
      <c r="E20" s="421"/>
      <c r="F20" s="421"/>
      <c r="G20" s="421">
        <f t="shared" si="2"/>
        <v>0</v>
      </c>
      <c r="H20" s="421">
        <v>0</v>
      </c>
      <c r="I20" s="421">
        <v>0</v>
      </c>
      <c r="J20" s="421">
        <v>0</v>
      </c>
      <c r="K20" s="421">
        <f t="shared" si="0"/>
        <v>0</v>
      </c>
      <c r="L20" s="421">
        <f t="shared" si="1"/>
        <v>0</v>
      </c>
      <c r="N20" s="505">
        <v>0</v>
      </c>
      <c r="O20" s="564">
        <f t="shared" si="3"/>
        <v>0</v>
      </c>
      <c r="P20" s="564">
        <f t="shared" si="4"/>
        <v>0</v>
      </c>
    </row>
    <row r="21" spans="1:16" x14ac:dyDescent="0.25">
      <c r="A21" s="419">
        <v>13</v>
      </c>
      <c r="B21" s="420" t="s">
        <v>768</v>
      </c>
      <c r="C21" s="421">
        <f>'ASET TETAP'!AJ30</f>
        <v>0</v>
      </c>
      <c r="D21" s="421">
        <v>0</v>
      </c>
      <c r="E21" s="421"/>
      <c r="F21" s="421"/>
      <c r="G21" s="421">
        <f t="shared" si="2"/>
        <v>0</v>
      </c>
      <c r="H21" s="421">
        <v>0</v>
      </c>
      <c r="I21" s="421">
        <v>0</v>
      </c>
      <c r="J21" s="421">
        <v>0</v>
      </c>
      <c r="K21" s="421">
        <f t="shared" si="0"/>
        <v>0</v>
      </c>
      <c r="L21" s="421">
        <f t="shared" si="1"/>
        <v>0</v>
      </c>
      <c r="N21" s="505">
        <v>0</v>
      </c>
      <c r="O21" s="564">
        <f t="shared" si="3"/>
        <v>0</v>
      </c>
      <c r="P21" s="564">
        <f t="shared" si="4"/>
        <v>0</v>
      </c>
    </row>
    <row r="22" spans="1:16" x14ac:dyDescent="0.25">
      <c r="A22" s="419">
        <v>14</v>
      </c>
      <c r="B22" s="420" t="s">
        <v>317</v>
      </c>
      <c r="C22" s="421">
        <f>'ASET TETAP'!AJ31</f>
        <v>1669450925</v>
      </c>
      <c r="D22" s="421">
        <v>413311931.25</v>
      </c>
      <c r="E22" s="421"/>
      <c r="F22" s="421"/>
      <c r="G22" s="421">
        <f t="shared" si="2"/>
        <v>413311931.25</v>
      </c>
      <c r="H22" s="421">
        <v>0</v>
      </c>
      <c r="I22" s="421">
        <v>0</v>
      </c>
      <c r="J22" s="421">
        <v>41698773.140000001</v>
      </c>
      <c r="K22" s="421">
        <f t="shared" si="0"/>
        <v>455010704.38999999</v>
      </c>
      <c r="L22" s="421">
        <f t="shared" si="1"/>
        <v>1214440220.6100001</v>
      </c>
      <c r="N22" s="505">
        <v>413311931.25</v>
      </c>
      <c r="O22" s="564">
        <f t="shared" si="3"/>
        <v>0</v>
      </c>
      <c r="P22" s="564">
        <f t="shared" si="4"/>
        <v>0</v>
      </c>
    </row>
    <row r="23" spans="1:16" x14ac:dyDescent="0.25">
      <c r="A23" s="419">
        <v>15</v>
      </c>
      <c r="B23" s="420" t="s">
        <v>318</v>
      </c>
      <c r="C23" s="421">
        <f>'ASET TETAP'!AJ32</f>
        <v>0</v>
      </c>
      <c r="D23" s="421">
        <v>0</v>
      </c>
      <c r="E23" s="421"/>
      <c r="F23" s="421"/>
      <c r="G23" s="421">
        <f t="shared" si="2"/>
        <v>0</v>
      </c>
      <c r="H23" s="421">
        <v>0</v>
      </c>
      <c r="I23" s="421">
        <v>0</v>
      </c>
      <c r="J23" s="421">
        <v>0</v>
      </c>
      <c r="K23" s="421">
        <f t="shared" si="0"/>
        <v>0</v>
      </c>
      <c r="L23" s="421">
        <f t="shared" si="1"/>
        <v>0</v>
      </c>
      <c r="N23" s="505">
        <v>0</v>
      </c>
      <c r="O23" s="564">
        <f t="shared" si="3"/>
        <v>0</v>
      </c>
      <c r="P23" s="564">
        <f t="shared" si="4"/>
        <v>0</v>
      </c>
    </row>
    <row r="24" spans="1:16" x14ac:dyDescent="0.25">
      <c r="A24" s="423"/>
      <c r="B24" s="424" t="s">
        <v>362</v>
      </c>
      <c r="C24" s="425">
        <f t="shared" ref="C24:L24" si="5">SUM(C9:C23)</f>
        <v>234490161382.00162</v>
      </c>
      <c r="D24" s="425">
        <f t="shared" si="5"/>
        <v>161096871711.51001</v>
      </c>
      <c r="E24" s="425">
        <f t="shared" si="5"/>
        <v>2242.7999954223601</v>
      </c>
      <c r="F24" s="425">
        <f t="shared" si="5"/>
        <v>0</v>
      </c>
      <c r="G24" s="425">
        <f t="shared" si="5"/>
        <v>161096873954.31</v>
      </c>
      <c r="H24" s="425">
        <f t="shared" si="5"/>
        <v>2709808056.25</v>
      </c>
      <c r="I24" s="425">
        <f t="shared" si="5"/>
        <v>17121917044.24</v>
      </c>
      <c r="J24" s="425">
        <f t="shared" si="5"/>
        <v>10929927643.07</v>
      </c>
      <c r="K24" s="425">
        <f>SUM(K9:K23)</f>
        <v>157614692609.39001</v>
      </c>
      <c r="L24" s="425">
        <f t="shared" si="5"/>
        <v>76875468772.611618</v>
      </c>
    </row>
    <row r="25" spans="1:16" x14ac:dyDescent="0.25">
      <c r="C25" s="564">
        <f>'ASET TETAP'!AJ42-'ASET TETAP'!AJ10-'ASET TETAP'!AJ34</f>
        <v>234490161382.00159</v>
      </c>
      <c r="D25" s="584">
        <f>D24+(NERACA!G79+NERACA!G89+NERACA!G92)</f>
        <v>0</v>
      </c>
      <c r="M25" s="505">
        <f>NERACA!G79+NERACA!G89+NERACA!G92</f>
        <v>-161096871711.51001</v>
      </c>
      <c r="N25" s="409">
        <f>[7]AkumulasiPenyusutan!$F$34</f>
        <v>147856029145.07001</v>
      </c>
    </row>
    <row r="26" spans="1:16" x14ac:dyDescent="0.25">
      <c r="C26" s="564">
        <f>+C24-C25</f>
        <v>0</v>
      </c>
      <c r="M26" s="564">
        <f>+D24+J24-M25</f>
        <v>333123671066.09003</v>
      </c>
      <c r="N26" s="578">
        <f>+G24-N25</f>
        <v>13240844809.23999</v>
      </c>
    </row>
    <row r="27" spans="1:16" ht="15" customHeight="1" x14ac:dyDescent="0.25">
      <c r="A27" s="777" t="s">
        <v>852</v>
      </c>
      <c r="B27" s="777"/>
      <c r="C27" s="777"/>
      <c r="D27" s="777"/>
      <c r="E27" s="777"/>
      <c r="F27" s="777"/>
      <c r="G27" s="777"/>
      <c r="H27" s="777"/>
      <c r="I27" s="777"/>
      <c r="J27" s="777"/>
      <c r="K27" s="777"/>
      <c r="L27" s="777"/>
    </row>
    <row r="28" spans="1:16" ht="15.75" x14ac:dyDescent="0.25">
      <c r="B28" s="410"/>
    </row>
    <row r="29" spans="1:16" s="411" customFormat="1" x14ac:dyDescent="0.25">
      <c r="A29" s="411" t="s">
        <v>752</v>
      </c>
      <c r="B29" s="411" t="str">
        <f>+B4</f>
        <v xml:space="preserve">: SETDA </v>
      </c>
    </row>
    <row r="30" spans="1:16" s="411" customFormat="1" ht="8.25" customHeight="1" x14ac:dyDescent="0.25"/>
    <row r="31" spans="1:16" s="412" customFormat="1" x14ac:dyDescent="0.25">
      <c r="A31" s="778" t="s">
        <v>320</v>
      </c>
      <c r="B31" s="778" t="s">
        <v>753</v>
      </c>
      <c r="C31" s="779" t="s">
        <v>850</v>
      </c>
      <c r="D31" s="780" t="s">
        <v>754</v>
      </c>
      <c r="E31" s="782" t="s">
        <v>755</v>
      </c>
      <c r="F31" s="783"/>
      <c r="G31" s="780" t="s">
        <v>756</v>
      </c>
      <c r="H31" s="782" t="s">
        <v>757</v>
      </c>
      <c r="I31" s="783"/>
      <c r="J31" s="780" t="s">
        <v>832</v>
      </c>
      <c r="K31" s="780" t="s">
        <v>411</v>
      </c>
      <c r="L31" s="779" t="s">
        <v>851</v>
      </c>
    </row>
    <row r="32" spans="1:16" s="412" customFormat="1" x14ac:dyDescent="0.25">
      <c r="A32" s="778"/>
      <c r="B32" s="778"/>
      <c r="C32" s="779"/>
      <c r="D32" s="781"/>
      <c r="E32" s="413" t="s">
        <v>760</v>
      </c>
      <c r="F32" s="413" t="s">
        <v>327</v>
      </c>
      <c r="G32" s="781"/>
      <c r="H32" s="413" t="s">
        <v>761</v>
      </c>
      <c r="I32" s="413" t="s">
        <v>762</v>
      </c>
      <c r="J32" s="781"/>
      <c r="K32" s="781"/>
      <c r="L32" s="779"/>
    </row>
    <row r="33" spans="1:12" s="418" customFormat="1" x14ac:dyDescent="0.25">
      <c r="A33" s="414"/>
      <c r="B33" s="414"/>
      <c r="C33" s="415"/>
      <c r="D33" s="416"/>
      <c r="E33" s="416"/>
      <c r="F33" s="416"/>
      <c r="G33" s="416"/>
      <c r="H33" s="417"/>
      <c r="I33" s="417"/>
      <c r="J33" s="416"/>
      <c r="K33" s="416"/>
      <c r="L33" s="416"/>
    </row>
    <row r="34" spans="1:12" x14ac:dyDescent="0.25">
      <c r="A34" s="419"/>
      <c r="B34" s="420" t="s">
        <v>780</v>
      </c>
      <c r="C34" s="421"/>
      <c r="D34" s="421"/>
      <c r="E34" s="421"/>
      <c r="F34" s="421"/>
      <c r="G34" s="421">
        <f>+D34+E34-F34</f>
        <v>0</v>
      </c>
      <c r="H34" s="421"/>
      <c r="I34" s="421"/>
      <c r="J34" s="495"/>
      <c r="K34" s="421">
        <f>+G34+H34-I34+J34</f>
        <v>0</v>
      </c>
      <c r="L34" s="421">
        <f>+C34-K34</f>
        <v>0</v>
      </c>
    </row>
    <row r="35" spans="1:12" x14ac:dyDescent="0.25">
      <c r="A35" s="423"/>
      <c r="B35" s="424" t="s">
        <v>362</v>
      </c>
      <c r="C35" s="425">
        <f t="shared" ref="C35:L35" si="6">SUM(C34:C34)</f>
        <v>0</v>
      </c>
      <c r="D35" s="425">
        <f t="shared" si="6"/>
        <v>0</v>
      </c>
      <c r="E35" s="425">
        <f t="shared" si="6"/>
        <v>0</v>
      </c>
      <c r="F35" s="425">
        <f t="shared" si="6"/>
        <v>0</v>
      </c>
      <c r="G35" s="425">
        <f t="shared" si="6"/>
        <v>0</v>
      </c>
      <c r="H35" s="425">
        <f t="shared" si="6"/>
        <v>0</v>
      </c>
      <c r="I35" s="425">
        <f t="shared" si="6"/>
        <v>0</v>
      </c>
      <c r="J35" s="425">
        <f t="shared" si="6"/>
        <v>0</v>
      </c>
      <c r="K35" s="425">
        <f t="shared" si="6"/>
        <v>0</v>
      </c>
      <c r="L35" s="425">
        <f t="shared" si="6"/>
        <v>0</v>
      </c>
    </row>
    <row r="38" spans="1:12" ht="15" customHeight="1" x14ac:dyDescent="0.25">
      <c r="A38" s="777" t="s">
        <v>853</v>
      </c>
      <c r="B38" s="777"/>
      <c r="C38" s="777"/>
      <c r="D38" s="777"/>
      <c r="E38" s="777"/>
      <c r="F38" s="777"/>
      <c r="G38" s="777"/>
      <c r="H38" s="777"/>
      <c r="I38" s="777"/>
      <c r="J38" s="777"/>
      <c r="K38" s="777"/>
      <c r="L38" s="777"/>
    </row>
    <row r="39" spans="1:12" ht="15.75" x14ac:dyDescent="0.25">
      <c r="B39" s="410"/>
    </row>
    <row r="40" spans="1:12" s="411" customFormat="1" x14ac:dyDescent="0.25">
      <c r="A40" s="411" t="s">
        <v>752</v>
      </c>
      <c r="B40" s="411" t="str">
        <f>+B29</f>
        <v xml:space="preserve">: SETDA </v>
      </c>
    </row>
    <row r="41" spans="1:12" s="411" customFormat="1" ht="8.25" customHeight="1" x14ac:dyDescent="0.25"/>
    <row r="42" spans="1:12" s="412" customFormat="1" x14ac:dyDescent="0.25">
      <c r="A42" s="778" t="s">
        <v>320</v>
      </c>
      <c r="B42" s="778" t="s">
        <v>753</v>
      </c>
      <c r="C42" s="779" t="s">
        <v>850</v>
      </c>
      <c r="D42" s="780" t="s">
        <v>754</v>
      </c>
      <c r="E42" s="782" t="s">
        <v>755</v>
      </c>
      <c r="F42" s="783"/>
      <c r="G42" s="780" t="s">
        <v>756</v>
      </c>
      <c r="H42" s="782" t="s">
        <v>757</v>
      </c>
      <c r="I42" s="783"/>
      <c r="J42" s="780" t="s">
        <v>758</v>
      </c>
      <c r="K42" s="780" t="s">
        <v>240</v>
      </c>
      <c r="L42" s="779" t="s">
        <v>851</v>
      </c>
    </row>
    <row r="43" spans="1:12" s="412" customFormat="1" x14ac:dyDescent="0.25">
      <c r="A43" s="778"/>
      <c r="B43" s="778"/>
      <c r="C43" s="779"/>
      <c r="D43" s="781"/>
      <c r="E43" s="413" t="s">
        <v>760</v>
      </c>
      <c r="F43" s="413" t="s">
        <v>327</v>
      </c>
      <c r="G43" s="781"/>
      <c r="H43" s="413" t="s">
        <v>761</v>
      </c>
      <c r="I43" s="413" t="s">
        <v>762</v>
      </c>
      <c r="J43" s="781"/>
      <c r="K43" s="781"/>
      <c r="L43" s="779"/>
    </row>
    <row r="44" spans="1:12" s="418" customFormat="1" x14ac:dyDescent="0.25">
      <c r="A44" s="414"/>
      <c r="B44" s="414"/>
      <c r="C44" s="415"/>
      <c r="D44" s="416"/>
      <c r="E44" s="416"/>
      <c r="F44" s="416"/>
      <c r="G44" s="416"/>
      <c r="H44" s="417"/>
      <c r="I44" s="417"/>
      <c r="J44" s="416"/>
      <c r="K44" s="416"/>
      <c r="L44" s="416"/>
    </row>
    <row r="45" spans="1:12" x14ac:dyDescent="0.25">
      <c r="A45" s="419">
        <v>1</v>
      </c>
      <c r="B45" s="420" t="s">
        <v>763</v>
      </c>
      <c r="C45" s="421">
        <f>'ASET LAINNYA'!AF15</f>
        <v>0</v>
      </c>
      <c r="D45" s="421"/>
      <c r="E45" s="421"/>
      <c r="F45" s="421"/>
      <c r="G45" s="421">
        <f t="shared" ref="G45:G59" si="7">+D45+E45-F45</f>
        <v>0</v>
      </c>
      <c r="H45" s="421"/>
      <c r="I45" s="421"/>
      <c r="J45" s="421"/>
      <c r="K45" s="421">
        <f t="shared" ref="K45:K59" si="8">+G45+H45-I45+J45</f>
        <v>0</v>
      </c>
      <c r="L45" s="421">
        <f t="shared" ref="L45:L59" si="9">+C45-K45</f>
        <v>0</v>
      </c>
    </row>
    <row r="46" spans="1:12" x14ac:dyDescent="0.25">
      <c r="A46" s="419">
        <v>2</v>
      </c>
      <c r="B46" s="420" t="s">
        <v>764</v>
      </c>
      <c r="C46" s="421">
        <f>'ASET LAINNYA'!AF16</f>
        <v>3079493356</v>
      </c>
      <c r="D46" s="421">
        <v>4185393356</v>
      </c>
      <c r="E46" s="421"/>
      <c r="F46" s="421"/>
      <c r="G46" s="421">
        <f t="shared" si="7"/>
        <v>4185393356</v>
      </c>
      <c r="H46" s="421"/>
      <c r="I46" s="421">
        <v>1105900000</v>
      </c>
      <c r="J46" s="421"/>
      <c r="K46" s="421">
        <f t="shared" si="8"/>
        <v>3079493356</v>
      </c>
      <c r="L46" s="421">
        <f t="shared" si="9"/>
        <v>0</v>
      </c>
    </row>
    <row r="47" spans="1:12" x14ac:dyDescent="0.25">
      <c r="A47" s="419">
        <v>3</v>
      </c>
      <c r="B47" s="420" t="s">
        <v>765</v>
      </c>
      <c r="C47" s="421">
        <f>'ASET LAINNYA'!AF17</f>
        <v>0</v>
      </c>
      <c r="D47" s="421"/>
      <c r="E47" s="421"/>
      <c r="F47" s="421"/>
      <c r="G47" s="421">
        <f t="shared" si="7"/>
        <v>0</v>
      </c>
      <c r="H47" s="421"/>
      <c r="I47" s="421"/>
      <c r="J47" s="421"/>
      <c r="K47" s="421">
        <f t="shared" si="8"/>
        <v>0</v>
      </c>
      <c r="L47" s="421">
        <f t="shared" si="9"/>
        <v>0</v>
      </c>
    </row>
    <row r="48" spans="1:12" x14ac:dyDescent="0.25">
      <c r="A48" s="419">
        <v>4</v>
      </c>
      <c r="B48" s="420" t="s">
        <v>766</v>
      </c>
      <c r="C48" s="421">
        <f>'ASET LAINNYA'!AF18</f>
        <v>0</v>
      </c>
      <c r="D48" s="422"/>
      <c r="E48" s="421"/>
      <c r="F48" s="421"/>
      <c r="G48" s="421">
        <f t="shared" si="7"/>
        <v>0</v>
      </c>
      <c r="H48" s="421"/>
      <c r="I48" s="421"/>
      <c r="J48" s="421"/>
      <c r="K48" s="421">
        <f t="shared" si="8"/>
        <v>0</v>
      </c>
      <c r="L48" s="421">
        <f t="shared" si="9"/>
        <v>0</v>
      </c>
    </row>
    <row r="49" spans="1:12" ht="25.5" x14ac:dyDescent="0.25">
      <c r="A49" s="419">
        <v>5</v>
      </c>
      <c r="B49" s="420" t="s">
        <v>312</v>
      </c>
      <c r="C49" s="421">
        <f>'ASET LAINNYA'!AF19</f>
        <v>0</v>
      </c>
      <c r="D49" s="422">
        <v>4756251670</v>
      </c>
      <c r="E49" s="421"/>
      <c r="F49" s="421"/>
      <c r="G49" s="421">
        <f t="shared" si="7"/>
        <v>4756251670</v>
      </c>
      <c r="H49" s="421"/>
      <c r="I49" s="421">
        <v>4756251670</v>
      </c>
      <c r="J49" s="421"/>
      <c r="K49" s="421">
        <f t="shared" si="8"/>
        <v>0</v>
      </c>
      <c r="L49" s="421">
        <f t="shared" si="9"/>
        <v>0</v>
      </c>
    </row>
    <row r="50" spans="1:12" x14ac:dyDescent="0.25">
      <c r="A50" s="419">
        <v>6</v>
      </c>
      <c r="B50" s="420" t="s">
        <v>313</v>
      </c>
      <c r="C50" s="421">
        <f>'ASET LAINNYA'!AF20</f>
        <v>0</v>
      </c>
      <c r="D50" s="422">
        <v>1962079920</v>
      </c>
      <c r="E50" s="421"/>
      <c r="F50" s="421"/>
      <c r="G50" s="421">
        <f t="shared" si="7"/>
        <v>1962079920</v>
      </c>
      <c r="H50" s="421"/>
      <c r="I50" s="421">
        <v>1962079920</v>
      </c>
      <c r="J50" s="421"/>
      <c r="K50" s="421">
        <f t="shared" si="8"/>
        <v>0</v>
      </c>
      <c r="L50" s="421">
        <f t="shared" si="9"/>
        <v>0</v>
      </c>
    </row>
    <row r="51" spans="1:12" x14ac:dyDescent="0.25">
      <c r="A51" s="419">
        <v>7</v>
      </c>
      <c r="B51" s="420" t="s">
        <v>322</v>
      </c>
      <c r="C51" s="421">
        <f>'ASET LAINNYA'!AF21</f>
        <v>0</v>
      </c>
      <c r="D51" s="422"/>
      <c r="E51" s="421"/>
      <c r="F51" s="421"/>
      <c r="G51" s="421">
        <f t="shared" si="7"/>
        <v>0</v>
      </c>
      <c r="H51" s="421"/>
      <c r="I51" s="421"/>
      <c r="J51" s="421"/>
      <c r="K51" s="421">
        <f t="shared" si="8"/>
        <v>0</v>
      </c>
      <c r="L51" s="421">
        <f t="shared" si="9"/>
        <v>0</v>
      </c>
    </row>
    <row r="52" spans="1:12" x14ac:dyDescent="0.25">
      <c r="A52" s="419">
        <v>8</v>
      </c>
      <c r="B52" s="420" t="s">
        <v>314</v>
      </c>
      <c r="C52" s="421">
        <f>'ASET LAINNYA'!AF22</f>
        <v>0</v>
      </c>
      <c r="D52" s="422"/>
      <c r="E52" s="421"/>
      <c r="F52" s="421"/>
      <c r="G52" s="421">
        <f t="shared" si="7"/>
        <v>0</v>
      </c>
      <c r="H52" s="421"/>
      <c r="I52" s="421"/>
      <c r="J52" s="421"/>
      <c r="K52" s="421">
        <f t="shared" si="8"/>
        <v>0</v>
      </c>
      <c r="L52" s="421">
        <f t="shared" si="9"/>
        <v>0</v>
      </c>
    </row>
    <row r="53" spans="1:12" x14ac:dyDescent="0.25">
      <c r="A53" s="419">
        <v>9</v>
      </c>
      <c r="B53" s="420" t="s">
        <v>315</v>
      </c>
      <c r="C53" s="421">
        <f>'ASET LAINNYA'!AF23</f>
        <v>0</v>
      </c>
      <c r="D53" s="422"/>
      <c r="E53" s="421"/>
      <c r="F53" s="421"/>
      <c r="G53" s="421">
        <f t="shared" si="7"/>
        <v>0</v>
      </c>
      <c r="H53" s="421"/>
      <c r="I53" s="421"/>
      <c r="J53" s="421"/>
      <c r="K53" s="421">
        <f t="shared" si="8"/>
        <v>0</v>
      </c>
      <c r="L53" s="421">
        <f t="shared" si="9"/>
        <v>0</v>
      </c>
    </row>
    <row r="54" spans="1:12" x14ac:dyDescent="0.25">
      <c r="A54" s="419">
        <v>10</v>
      </c>
      <c r="B54" s="420" t="s">
        <v>324</v>
      </c>
      <c r="C54" s="421">
        <f>'ASET LAINNYA'!AF26</f>
        <v>0</v>
      </c>
      <c r="D54" s="422"/>
      <c r="E54" s="421"/>
      <c r="F54" s="421"/>
      <c r="G54" s="421">
        <f t="shared" si="7"/>
        <v>0</v>
      </c>
      <c r="H54" s="421"/>
      <c r="I54" s="421"/>
      <c r="J54" s="421"/>
      <c r="K54" s="421">
        <f t="shared" si="8"/>
        <v>0</v>
      </c>
      <c r="L54" s="421">
        <f t="shared" si="9"/>
        <v>0</v>
      </c>
    </row>
    <row r="55" spans="1:12" x14ac:dyDescent="0.25">
      <c r="A55" s="419">
        <v>11</v>
      </c>
      <c r="B55" s="420" t="s">
        <v>767</v>
      </c>
      <c r="C55" s="421">
        <f>'ASET LAINNYA'!AF27</f>
        <v>0</v>
      </c>
      <c r="D55" s="422"/>
      <c r="E55" s="421"/>
      <c r="F55" s="421"/>
      <c r="G55" s="421">
        <f t="shared" si="7"/>
        <v>0</v>
      </c>
      <c r="H55" s="421"/>
      <c r="I55" s="421"/>
      <c r="J55" s="421"/>
      <c r="K55" s="421">
        <f t="shared" si="8"/>
        <v>0</v>
      </c>
      <c r="L55" s="421">
        <f t="shared" si="9"/>
        <v>0</v>
      </c>
    </row>
    <row r="56" spans="1:12" x14ac:dyDescent="0.25">
      <c r="A56" s="419">
        <v>12</v>
      </c>
      <c r="B56" s="420" t="s">
        <v>316</v>
      </c>
      <c r="C56" s="421">
        <f>'ASET LAINNYA'!AF30</f>
        <v>0</v>
      </c>
      <c r="D56" s="421"/>
      <c r="E56" s="421"/>
      <c r="F56" s="421"/>
      <c r="G56" s="421">
        <f t="shared" si="7"/>
        <v>0</v>
      </c>
      <c r="H56" s="421"/>
      <c r="I56" s="421"/>
      <c r="J56" s="421"/>
      <c r="K56" s="421">
        <f t="shared" si="8"/>
        <v>0</v>
      </c>
      <c r="L56" s="421">
        <f t="shared" si="9"/>
        <v>0</v>
      </c>
    </row>
    <row r="57" spans="1:12" x14ac:dyDescent="0.25">
      <c r="A57" s="419">
        <v>13</v>
      </c>
      <c r="B57" s="420" t="s">
        <v>768</v>
      </c>
      <c r="C57" s="421">
        <f>'ASET LAINNYA'!AF31</f>
        <v>0</v>
      </c>
      <c r="D57" s="421"/>
      <c r="E57" s="421"/>
      <c r="F57" s="421"/>
      <c r="G57" s="421">
        <f t="shared" si="7"/>
        <v>0</v>
      </c>
      <c r="H57" s="421"/>
      <c r="I57" s="421"/>
      <c r="J57" s="421"/>
      <c r="K57" s="421">
        <f t="shared" si="8"/>
        <v>0</v>
      </c>
      <c r="L57" s="421">
        <f t="shared" si="9"/>
        <v>0</v>
      </c>
    </row>
    <row r="58" spans="1:12" x14ac:dyDescent="0.25">
      <c r="A58" s="419">
        <v>14</v>
      </c>
      <c r="B58" s="420" t="s">
        <v>317</v>
      </c>
      <c r="C58" s="421">
        <f>'ASET LAINNYA'!AF32</f>
        <v>0</v>
      </c>
      <c r="D58" s="421"/>
      <c r="E58" s="421"/>
      <c r="F58" s="421"/>
      <c r="G58" s="421">
        <f t="shared" si="7"/>
        <v>0</v>
      </c>
      <c r="H58" s="421"/>
      <c r="I58" s="421"/>
      <c r="J58" s="421"/>
      <c r="K58" s="421">
        <f t="shared" si="8"/>
        <v>0</v>
      </c>
      <c r="L58" s="421">
        <f t="shared" si="9"/>
        <v>0</v>
      </c>
    </row>
    <row r="59" spans="1:12" x14ac:dyDescent="0.25">
      <c r="A59" s="419">
        <v>15</v>
      </c>
      <c r="B59" s="420" t="s">
        <v>318</v>
      </c>
      <c r="C59" s="421">
        <f>'ASET LAINNYA'!AF33</f>
        <v>0</v>
      </c>
      <c r="D59" s="421"/>
      <c r="E59" s="421"/>
      <c r="F59" s="421"/>
      <c r="G59" s="421">
        <f t="shared" si="7"/>
        <v>0</v>
      </c>
      <c r="H59" s="421"/>
      <c r="I59" s="421"/>
      <c r="J59" s="421"/>
      <c r="K59" s="421">
        <f t="shared" si="8"/>
        <v>0</v>
      </c>
      <c r="L59" s="421">
        <f t="shared" si="9"/>
        <v>0</v>
      </c>
    </row>
    <row r="60" spans="1:12" x14ac:dyDescent="0.25">
      <c r="A60" s="423"/>
      <c r="B60" s="424" t="s">
        <v>362</v>
      </c>
      <c r="C60" s="425">
        <f t="shared" ref="C60:L60" si="10">SUM(C45:C59)</f>
        <v>3079493356</v>
      </c>
      <c r="D60" s="425">
        <f t="shared" si="10"/>
        <v>10903724946</v>
      </c>
      <c r="E60" s="425">
        <f t="shared" si="10"/>
        <v>0</v>
      </c>
      <c r="F60" s="425">
        <f t="shared" si="10"/>
        <v>0</v>
      </c>
      <c r="G60" s="425">
        <f t="shared" si="10"/>
        <v>10903724946</v>
      </c>
      <c r="H60" s="425">
        <f t="shared" si="10"/>
        <v>0</v>
      </c>
      <c r="I60" s="425">
        <f t="shared" si="10"/>
        <v>7824231590</v>
      </c>
      <c r="J60" s="425">
        <f t="shared" si="10"/>
        <v>0</v>
      </c>
      <c r="K60" s="425">
        <f t="shared" si="10"/>
        <v>3079493356</v>
      </c>
      <c r="L60" s="425">
        <f t="shared" si="10"/>
        <v>0</v>
      </c>
    </row>
  </sheetData>
  <sheetProtection algorithmName="SHA-512" hashValue="4jy1v2agQU1cDgP/LHo6MLxJBNErvIhVLrf/OpnLgiFaRmfeszk+su+wu0lX6ascjuR4sJvPtrkMwauZIVDyNA==" saltValue="K5ZaGUYs9Rx9XnjdTlPATQ==" spinCount="100000" sheet="1" objects="1" scenarios="1"/>
  <mergeCells count="33">
    <mergeCell ref="L42:L43"/>
    <mergeCell ref="A38:L38"/>
    <mergeCell ref="A42:A43"/>
    <mergeCell ref="B42:B43"/>
    <mergeCell ref="C42:C43"/>
    <mergeCell ref="D42:D43"/>
    <mergeCell ref="E42:F42"/>
    <mergeCell ref="G42:G43"/>
    <mergeCell ref="H42:I42"/>
    <mergeCell ref="J42:J43"/>
    <mergeCell ref="K42:K43"/>
    <mergeCell ref="L31:L32"/>
    <mergeCell ref="L6:L7"/>
    <mergeCell ref="A27:L27"/>
    <mergeCell ref="A31:A32"/>
    <mergeCell ref="B31:B32"/>
    <mergeCell ref="C31:C32"/>
    <mergeCell ref="D31:D32"/>
    <mergeCell ref="E31:F31"/>
    <mergeCell ref="G31:G32"/>
    <mergeCell ref="H31:I31"/>
    <mergeCell ref="J31:J32"/>
    <mergeCell ref="K31:K32"/>
    <mergeCell ref="A2:L2"/>
    <mergeCell ref="A6:A7"/>
    <mergeCell ref="B6:B7"/>
    <mergeCell ref="C6:C7"/>
    <mergeCell ref="D6:D7"/>
    <mergeCell ref="E6:F6"/>
    <mergeCell ref="G6:G7"/>
    <mergeCell ref="H6:I6"/>
    <mergeCell ref="J6:J7"/>
    <mergeCell ref="K6:K7"/>
  </mergeCells>
  <printOptions horizontalCentered="1"/>
  <pageMargins left="0" right="0" top="0" bottom="0" header="0.31496062992125984" footer="0.31496062992125984"/>
  <pageSetup paperSize="25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2" tint="-0.249977111117893"/>
  </sheetPr>
  <dimension ref="A1:AB187"/>
  <sheetViews>
    <sheetView tabSelected="1" view="pageBreakPreview" topLeftCell="A6" zoomScale="40" zoomScaleNormal="50" zoomScaleSheetLayoutView="40" zoomScalePageLayoutView="60" workbookViewId="0">
      <pane xSplit="7" ySplit="8" topLeftCell="I14" activePane="bottomRight" state="frozen"/>
      <selection activeCell="A6" sqref="A6"/>
      <selection pane="topRight" activeCell="H6" sqref="H6"/>
      <selection pane="bottomLeft" activeCell="A14" sqref="A14"/>
      <selection pane="bottomRight" activeCell="K19" sqref="K19"/>
    </sheetView>
  </sheetViews>
  <sheetFormatPr defaultRowHeight="15" x14ac:dyDescent="0.25"/>
  <cols>
    <col min="1" max="1" width="7" style="90" bestFit="1" customWidth="1"/>
    <col min="2" max="2" width="3.5703125" customWidth="1"/>
    <col min="3" max="3" width="3.7109375" customWidth="1"/>
    <col min="4" max="4" width="4" customWidth="1"/>
    <col min="5" max="5" width="71.42578125" customWidth="1"/>
    <col min="6" max="6" width="7" customWidth="1"/>
    <col min="7" max="7" width="35.5703125" customWidth="1"/>
    <col min="8" max="8" width="26" hidden="1" customWidth="1"/>
    <col min="9" max="9" width="31" customWidth="1"/>
    <col min="10" max="10" width="4.42578125" style="46" hidden="1" customWidth="1"/>
    <col min="11" max="11" width="32.140625" customWidth="1"/>
    <col min="12" max="12" width="37.28515625" style="46" customWidth="1"/>
    <col min="13" max="13" width="4.42578125" hidden="1" customWidth="1"/>
    <col min="14" max="14" width="36.7109375" customWidth="1"/>
    <col min="15" max="15" width="4.42578125" style="46" hidden="1" customWidth="1"/>
    <col min="16" max="16" width="35.5703125" customWidth="1"/>
    <col min="17" max="17" width="37.28515625" style="46" bestFit="1" customWidth="1"/>
    <col min="18" max="18" width="4.42578125" hidden="1" customWidth="1"/>
    <col min="19" max="19" width="31" hidden="1" customWidth="1"/>
    <col min="20" max="20" width="4.42578125" style="46" hidden="1" customWidth="1"/>
    <col min="21" max="21" width="31" hidden="1" customWidth="1"/>
    <col min="22" max="22" width="33.140625" style="46" hidden="1" customWidth="1"/>
    <col min="23" max="23" width="31.140625" style="508" bestFit="1" customWidth="1"/>
    <col min="24" max="24" width="33.85546875" bestFit="1" customWidth="1"/>
    <col min="25" max="25" width="24.42578125" bestFit="1" customWidth="1"/>
    <col min="26" max="26" width="32.7109375" bestFit="1" customWidth="1"/>
  </cols>
  <sheetData>
    <row r="1" spans="1:23" x14ac:dyDescent="0.25">
      <c r="C1" s="45"/>
    </row>
    <row r="2" spans="1:23" x14ac:dyDescent="0.25">
      <c r="C2" s="45"/>
    </row>
    <row r="3" spans="1:23" x14ac:dyDescent="0.25">
      <c r="C3" s="45"/>
      <c r="K3" s="47"/>
      <c r="P3" s="47"/>
      <c r="U3" s="47"/>
    </row>
    <row r="4" spans="1:23" x14ac:dyDescent="0.25">
      <c r="C4" s="45"/>
      <c r="K4" s="47"/>
      <c r="P4" s="47"/>
      <c r="U4" s="47"/>
    </row>
    <row r="5" spans="1:23" x14ac:dyDescent="0.25">
      <c r="C5" s="791"/>
      <c r="D5" s="791"/>
      <c r="E5" s="791"/>
      <c r="F5" s="791"/>
      <c r="G5" s="791"/>
      <c r="H5" s="791"/>
      <c r="I5" s="791"/>
      <c r="J5" s="791"/>
      <c r="K5" s="791"/>
      <c r="L5" s="791"/>
      <c r="O5"/>
      <c r="Q5"/>
      <c r="T5"/>
      <c r="V5"/>
    </row>
    <row r="6" spans="1:23" s="48" customFormat="1" ht="22.5" x14ac:dyDescent="0.3">
      <c r="A6" s="91"/>
      <c r="B6" s="792" t="s">
        <v>185</v>
      </c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579"/>
    </row>
    <row r="7" spans="1:23" s="48" customFormat="1" ht="22.5" x14ac:dyDescent="0.3">
      <c r="A7" s="91"/>
      <c r="B7" s="792" t="s">
        <v>1152</v>
      </c>
      <c r="C7" s="792"/>
      <c r="D7" s="792"/>
      <c r="E7" s="792"/>
      <c r="F7" s="792"/>
      <c r="G7" s="792"/>
      <c r="H7" s="792"/>
      <c r="I7" s="792"/>
      <c r="J7" s="792"/>
      <c r="K7" s="792"/>
      <c r="L7" s="792"/>
      <c r="M7" s="792"/>
      <c r="N7" s="792"/>
      <c r="O7" s="792"/>
      <c r="P7" s="792"/>
      <c r="Q7" s="792"/>
      <c r="R7" s="792"/>
      <c r="S7" s="792"/>
      <c r="T7" s="792"/>
      <c r="U7" s="792"/>
      <c r="V7" s="792"/>
      <c r="W7" s="579"/>
    </row>
    <row r="8" spans="1:23" s="48" customFormat="1" ht="22.5" x14ac:dyDescent="0.3">
      <c r="A8" s="91"/>
      <c r="B8" s="792" t="s">
        <v>854</v>
      </c>
      <c r="C8" s="792"/>
      <c r="D8" s="792"/>
      <c r="E8" s="792"/>
      <c r="F8" s="792"/>
      <c r="G8" s="792"/>
      <c r="H8" s="792"/>
      <c r="I8" s="792"/>
      <c r="J8" s="792"/>
      <c r="K8" s="792"/>
      <c r="L8" s="792"/>
      <c r="M8" s="792"/>
      <c r="N8" s="792"/>
      <c r="O8" s="792"/>
      <c r="P8" s="792"/>
      <c r="Q8" s="792"/>
      <c r="R8" s="792"/>
      <c r="S8" s="792"/>
      <c r="T8" s="792"/>
      <c r="U8" s="792"/>
      <c r="V8" s="792"/>
      <c r="W8" s="579"/>
    </row>
    <row r="9" spans="1:23" s="48" customFormat="1" ht="22.5" x14ac:dyDescent="0.3">
      <c r="A9" s="9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579"/>
    </row>
    <row r="10" spans="1:23" s="49" customFormat="1" ht="21" x14ac:dyDescent="0.35">
      <c r="A10" s="92"/>
      <c r="J10" s="50"/>
      <c r="L10" s="51" t="s">
        <v>186</v>
      </c>
      <c r="O10" s="50"/>
      <c r="Q10" s="51" t="s">
        <v>186</v>
      </c>
      <c r="T10" s="50"/>
      <c r="V10" s="51" t="s">
        <v>186</v>
      </c>
      <c r="W10" s="580"/>
    </row>
    <row r="11" spans="1:23" s="87" customFormat="1" ht="21.75" customHeight="1" x14ac:dyDescent="0.3">
      <c r="A11" s="784" t="s">
        <v>276</v>
      </c>
      <c r="B11" s="786" t="s">
        <v>23</v>
      </c>
      <c r="C11" s="786"/>
      <c r="D11" s="786"/>
      <c r="E11" s="786"/>
      <c r="F11" s="786"/>
      <c r="G11" s="93" t="s">
        <v>659</v>
      </c>
      <c r="H11" s="788" t="s">
        <v>187</v>
      </c>
      <c r="I11" s="789"/>
      <c r="J11" s="789"/>
      <c r="K11" s="790"/>
      <c r="L11" s="93" t="s">
        <v>659</v>
      </c>
      <c r="M11" s="788" t="s">
        <v>188</v>
      </c>
      <c r="N11" s="789"/>
      <c r="O11" s="789"/>
      <c r="P11" s="790"/>
      <c r="Q11" s="93" t="s">
        <v>855</v>
      </c>
      <c r="R11" s="796" t="s">
        <v>190</v>
      </c>
      <c r="S11" s="797"/>
      <c r="T11" s="797"/>
      <c r="U11" s="798"/>
      <c r="V11" s="52" t="s">
        <v>189</v>
      </c>
      <c r="W11" s="581"/>
    </row>
    <row r="12" spans="1:23" s="87" customFormat="1" ht="21.75" customHeight="1" x14ac:dyDescent="0.3">
      <c r="A12" s="785"/>
      <c r="B12" s="787"/>
      <c r="C12" s="787"/>
      <c r="D12" s="787"/>
      <c r="E12" s="787"/>
      <c r="F12" s="787"/>
      <c r="G12" s="94" t="s">
        <v>191</v>
      </c>
      <c r="H12" s="94"/>
      <c r="I12" s="94" t="s">
        <v>192</v>
      </c>
      <c r="J12" s="94"/>
      <c r="K12" s="94" t="s">
        <v>193</v>
      </c>
      <c r="L12" s="94" t="s">
        <v>194</v>
      </c>
      <c r="M12" s="94"/>
      <c r="N12" s="94" t="s">
        <v>192</v>
      </c>
      <c r="O12" s="94"/>
      <c r="P12" s="94" t="s">
        <v>193</v>
      </c>
      <c r="Q12" s="94" t="s">
        <v>195</v>
      </c>
      <c r="R12" s="53"/>
      <c r="S12" s="53" t="s">
        <v>192</v>
      </c>
      <c r="T12" s="53"/>
      <c r="U12" s="53" t="s">
        <v>193</v>
      </c>
      <c r="V12" s="53" t="s">
        <v>191</v>
      </c>
      <c r="W12" s="581"/>
    </row>
    <row r="13" spans="1:23" s="87" customFormat="1" ht="21.75" customHeight="1" x14ac:dyDescent="0.3">
      <c r="A13" s="95"/>
      <c r="B13" s="793">
        <v>1</v>
      </c>
      <c r="C13" s="794"/>
      <c r="D13" s="794"/>
      <c r="E13" s="794"/>
      <c r="F13" s="795"/>
      <c r="G13" s="96">
        <v>2</v>
      </c>
      <c r="H13" s="96"/>
      <c r="I13" s="96">
        <v>3</v>
      </c>
      <c r="J13" s="96"/>
      <c r="K13" s="96">
        <v>4</v>
      </c>
      <c r="L13" s="96">
        <v>5</v>
      </c>
      <c r="M13" s="96"/>
      <c r="N13" s="96">
        <v>3</v>
      </c>
      <c r="O13" s="96"/>
      <c r="P13" s="96">
        <v>4</v>
      </c>
      <c r="Q13" s="96">
        <v>5</v>
      </c>
      <c r="R13" s="54"/>
      <c r="S13" s="54">
        <v>9</v>
      </c>
      <c r="T13" s="54"/>
      <c r="U13" s="54">
        <v>10</v>
      </c>
      <c r="V13" s="54">
        <v>11</v>
      </c>
      <c r="W13" s="581"/>
    </row>
    <row r="14" spans="1:23" s="87" customFormat="1" ht="27" customHeight="1" x14ac:dyDescent="0.3">
      <c r="A14" s="97">
        <v>1</v>
      </c>
      <c r="B14" s="55"/>
      <c r="C14" s="56" t="s">
        <v>196</v>
      </c>
      <c r="D14" s="56"/>
      <c r="E14" s="56"/>
      <c r="F14" s="57"/>
      <c r="G14" s="58"/>
      <c r="H14" s="58"/>
      <c r="I14" s="58"/>
      <c r="J14" s="59"/>
      <c r="K14" s="58"/>
      <c r="L14" s="59"/>
      <c r="M14" s="58"/>
      <c r="N14" s="58"/>
      <c r="O14" s="59"/>
      <c r="P14" s="58"/>
      <c r="Q14" s="59"/>
      <c r="R14" s="58"/>
      <c r="S14" s="58"/>
      <c r="T14" s="59"/>
      <c r="U14" s="58"/>
      <c r="V14" s="59"/>
      <c r="W14" s="581"/>
    </row>
    <row r="15" spans="1:23" s="64" customFormat="1" ht="27" customHeight="1" x14ac:dyDescent="0.3">
      <c r="A15" s="98">
        <v>2</v>
      </c>
      <c r="B15" s="60"/>
      <c r="C15" s="61" t="s">
        <v>197</v>
      </c>
      <c r="D15" s="61"/>
      <c r="E15" s="61"/>
      <c r="F15" s="62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63"/>
      <c r="W15" s="582"/>
    </row>
    <row r="16" spans="1:23" s="277" customFormat="1" ht="27" customHeight="1" x14ac:dyDescent="0.3">
      <c r="A16" s="273">
        <v>3</v>
      </c>
      <c r="B16" s="274"/>
      <c r="C16" s="275"/>
      <c r="D16" s="275" t="s">
        <v>198</v>
      </c>
      <c r="E16" s="275"/>
      <c r="F16" s="276"/>
      <c r="G16" s="65">
        <f>SUM(G17:G21)</f>
        <v>0</v>
      </c>
      <c r="H16" s="65"/>
      <c r="I16" s="65"/>
      <c r="J16" s="65"/>
      <c r="K16" s="65"/>
      <c r="L16" s="65">
        <f>SUM(L17:L21)</f>
        <v>0</v>
      </c>
      <c r="M16" s="65"/>
      <c r="N16" s="65">
        <f>SUM(N17:N21)</f>
        <v>8582</v>
      </c>
      <c r="O16" s="65"/>
      <c r="P16" s="65">
        <f>SUM(P17:P21)</f>
        <v>0</v>
      </c>
      <c r="Q16" s="65">
        <f>SUM(Q17:Q21)</f>
        <v>8582</v>
      </c>
      <c r="R16" s="65"/>
      <c r="S16" s="65"/>
      <c r="T16" s="65"/>
      <c r="U16" s="65"/>
      <c r="V16" s="65">
        <f>SUM(V17:V20)</f>
        <v>8582</v>
      </c>
      <c r="W16" s="583"/>
    </row>
    <row r="17" spans="1:24" s="281" customFormat="1" ht="27" customHeight="1" x14ac:dyDescent="0.3">
      <c r="A17" s="273">
        <v>4</v>
      </c>
      <c r="B17" s="278"/>
      <c r="C17" s="279"/>
      <c r="D17" s="279"/>
      <c r="E17" s="279" t="s">
        <v>199</v>
      </c>
      <c r="F17" s="280"/>
      <c r="G17" s="66"/>
      <c r="H17" s="66"/>
      <c r="I17" s="66"/>
      <c r="J17" s="66"/>
      <c r="K17" s="66"/>
      <c r="L17" s="66">
        <f>G17+I17-K17</f>
        <v>0</v>
      </c>
      <c r="M17" s="66"/>
      <c r="N17" s="66"/>
      <c r="O17" s="66"/>
      <c r="P17" s="66"/>
      <c r="Q17" s="66">
        <f>L17+N17-P17</f>
        <v>0</v>
      </c>
      <c r="R17" s="66"/>
      <c r="S17" s="66"/>
      <c r="T17" s="66"/>
      <c r="U17" s="66"/>
      <c r="V17" s="66">
        <f>Q17+S17-U17</f>
        <v>0</v>
      </c>
      <c r="W17" s="285"/>
    </row>
    <row r="18" spans="1:24" s="281" customFormat="1" ht="27" customHeight="1" x14ac:dyDescent="0.3">
      <c r="A18" s="273">
        <v>5</v>
      </c>
      <c r="B18" s="278"/>
      <c r="C18" s="279"/>
      <c r="D18" s="279"/>
      <c r="E18" s="279" t="s">
        <v>200</v>
      </c>
      <c r="F18" s="280"/>
      <c r="G18" s="66"/>
      <c r="H18" s="66"/>
      <c r="I18" s="66"/>
      <c r="J18" s="66"/>
      <c r="K18" s="66"/>
      <c r="L18" s="66">
        <f>G18+I18-K18</f>
        <v>0</v>
      </c>
      <c r="M18" s="66"/>
      <c r="N18" s="66">
        <v>8582</v>
      </c>
      <c r="O18" s="66"/>
      <c r="P18" s="66">
        <v>0</v>
      </c>
      <c r="Q18" s="66">
        <f>L18+N18-P18</f>
        <v>8582</v>
      </c>
      <c r="R18" s="66"/>
      <c r="S18" s="66"/>
      <c r="T18" s="66"/>
      <c r="U18" s="66"/>
      <c r="V18" s="66">
        <f>Q18+S18-U18</f>
        <v>8582</v>
      </c>
      <c r="W18" s="285"/>
    </row>
    <row r="19" spans="1:24" s="281" customFormat="1" ht="27" customHeight="1" x14ac:dyDescent="0.3">
      <c r="A19" s="273">
        <v>6</v>
      </c>
      <c r="B19" s="278"/>
      <c r="C19" s="279"/>
      <c r="D19" s="279"/>
      <c r="E19" s="279" t="s">
        <v>201</v>
      </c>
      <c r="F19" s="280"/>
      <c r="G19" s="66"/>
      <c r="H19" s="66"/>
      <c r="I19" s="66"/>
      <c r="J19" s="66"/>
      <c r="K19" s="66"/>
      <c r="L19" s="66">
        <f>G19+SUM(I19:I19)-K19</f>
        <v>0</v>
      </c>
      <c r="M19" s="66"/>
      <c r="N19" s="66"/>
      <c r="O19" s="66"/>
      <c r="P19" s="66">
        <f>L19</f>
        <v>0</v>
      </c>
      <c r="Q19" s="66">
        <f>L19+SUM(N19:N19)-P19</f>
        <v>0</v>
      </c>
      <c r="R19" s="66"/>
      <c r="S19" s="66"/>
      <c r="T19" s="66"/>
      <c r="U19" s="66"/>
      <c r="V19" s="66">
        <f>Q19+SUM(S19:S19)-U19</f>
        <v>0</v>
      </c>
      <c r="W19" s="285"/>
    </row>
    <row r="20" spans="1:24" s="281" customFormat="1" ht="27" customHeight="1" x14ac:dyDescent="0.3">
      <c r="A20" s="273">
        <v>7</v>
      </c>
      <c r="B20" s="278"/>
      <c r="C20" s="279"/>
      <c r="D20" s="279"/>
      <c r="E20" s="279" t="s">
        <v>202</v>
      </c>
      <c r="F20" s="280"/>
      <c r="G20" s="66"/>
      <c r="H20" s="66"/>
      <c r="I20" s="66"/>
      <c r="J20" s="66"/>
      <c r="K20" s="66"/>
      <c r="L20" s="66">
        <f>G20+I20-K20</f>
        <v>0</v>
      </c>
      <c r="M20" s="66"/>
      <c r="N20" s="494"/>
      <c r="O20" s="66"/>
      <c r="P20" s="66">
        <f>L20</f>
        <v>0</v>
      </c>
      <c r="Q20" s="66">
        <f>L20+N20-P20</f>
        <v>0</v>
      </c>
      <c r="R20" s="66"/>
      <c r="S20" s="66"/>
      <c r="T20" s="66"/>
      <c r="U20" s="66"/>
      <c r="V20" s="66">
        <f>Q20+S20-U20</f>
        <v>0</v>
      </c>
      <c r="W20" s="285"/>
    </row>
    <row r="21" spans="1:24" s="277" customFormat="1" ht="27" customHeight="1" x14ac:dyDescent="0.3">
      <c r="A21" s="273">
        <v>8</v>
      </c>
      <c r="B21" s="274"/>
      <c r="C21" s="275"/>
      <c r="D21" s="275"/>
      <c r="E21" s="279" t="s">
        <v>412</v>
      </c>
      <c r="F21" s="276"/>
      <c r="G21" s="66"/>
      <c r="H21" s="66"/>
      <c r="I21" s="66"/>
      <c r="J21" s="66"/>
      <c r="K21" s="66"/>
      <c r="L21" s="66">
        <f>G21+I21-K21</f>
        <v>0</v>
      </c>
      <c r="M21" s="66"/>
      <c r="N21" s="66"/>
      <c r="O21" s="66"/>
      <c r="P21" s="66"/>
      <c r="Q21" s="66">
        <f>L21+N21-P21</f>
        <v>0</v>
      </c>
      <c r="R21" s="66"/>
      <c r="S21" s="66"/>
      <c r="T21" s="66"/>
      <c r="U21" s="66"/>
      <c r="V21" s="66">
        <f>Q21+S21-U21</f>
        <v>0</v>
      </c>
      <c r="W21" s="583"/>
    </row>
    <row r="22" spans="1:24" s="277" customFormat="1" ht="27" customHeight="1" x14ac:dyDescent="0.3">
      <c r="A22" s="273">
        <v>11</v>
      </c>
      <c r="B22" s="274"/>
      <c r="C22" s="275"/>
      <c r="D22" s="275" t="s">
        <v>277</v>
      </c>
      <c r="E22" s="275"/>
      <c r="F22" s="276"/>
      <c r="G22" s="66">
        <f>SUM(G23)</f>
        <v>0</v>
      </c>
      <c r="H22" s="66"/>
      <c r="I22" s="66"/>
      <c r="J22" s="66"/>
      <c r="K22" s="66"/>
      <c r="L22" s="66">
        <f>SUM(L23)</f>
        <v>0</v>
      </c>
      <c r="M22" s="66"/>
      <c r="N22" s="66">
        <f>SUM(N23)</f>
        <v>0</v>
      </c>
      <c r="O22" s="66"/>
      <c r="P22" s="66">
        <f>SUM(P23)</f>
        <v>0</v>
      </c>
      <c r="Q22" s="66">
        <f>SUM(Q23)</f>
        <v>0</v>
      </c>
      <c r="R22" s="66"/>
      <c r="S22" s="66"/>
      <c r="T22" s="66"/>
      <c r="U22" s="66"/>
      <c r="V22" s="66"/>
      <c r="W22" s="583"/>
    </row>
    <row r="23" spans="1:24" s="281" customFormat="1" ht="27" customHeight="1" x14ac:dyDescent="0.3">
      <c r="A23" s="273">
        <v>12</v>
      </c>
      <c r="B23" s="278"/>
      <c r="C23" s="279"/>
      <c r="D23" s="279"/>
      <c r="E23" s="279" t="s">
        <v>277</v>
      </c>
      <c r="F23" s="280"/>
      <c r="G23" s="66"/>
      <c r="H23" s="66"/>
      <c r="I23" s="66"/>
      <c r="J23" s="66"/>
      <c r="K23" s="66"/>
      <c r="L23" s="66">
        <f>G23+I23-K23</f>
        <v>0</v>
      </c>
      <c r="M23" s="66"/>
      <c r="N23" s="66"/>
      <c r="O23" s="66"/>
      <c r="P23" s="66"/>
      <c r="Q23" s="66">
        <f>L23+N23-P23</f>
        <v>0</v>
      </c>
      <c r="R23" s="66"/>
      <c r="S23" s="66"/>
      <c r="T23" s="66"/>
      <c r="U23" s="66"/>
      <c r="V23" s="66"/>
      <c r="W23" s="285"/>
    </row>
    <row r="24" spans="1:24" s="277" customFormat="1" ht="27" customHeight="1" x14ac:dyDescent="0.3">
      <c r="A24" s="273">
        <v>13</v>
      </c>
      <c r="B24" s="274"/>
      <c r="C24" s="275"/>
      <c r="D24" s="275" t="s">
        <v>203</v>
      </c>
      <c r="E24" s="275"/>
      <c r="F24" s="276"/>
      <c r="G24" s="65">
        <f>SUM(G25:G28)</f>
        <v>0</v>
      </c>
      <c r="H24" s="65"/>
      <c r="I24" s="206"/>
      <c r="J24" s="65"/>
      <c r="K24" s="65"/>
      <c r="L24" s="65">
        <f>SUM(L25:L28)</f>
        <v>0</v>
      </c>
      <c r="M24" s="65"/>
      <c r="N24" s="65">
        <f>SUM(N25:N28)</f>
        <v>0</v>
      </c>
      <c r="O24" s="65"/>
      <c r="P24" s="65">
        <f>SUM(P25:P28)</f>
        <v>0</v>
      </c>
      <c r="Q24" s="65">
        <f>+Q25+Q26+Q27+Q28</f>
        <v>0</v>
      </c>
      <c r="R24" s="65"/>
      <c r="S24" s="65"/>
      <c r="T24" s="65"/>
      <c r="U24" s="65"/>
      <c r="V24" s="65">
        <f>+V25+V26+V27+V28</f>
        <v>0</v>
      </c>
      <c r="W24" s="583"/>
    </row>
    <row r="25" spans="1:24" s="281" customFormat="1" ht="27" customHeight="1" x14ac:dyDescent="0.3">
      <c r="A25" s="273">
        <v>14</v>
      </c>
      <c r="B25" s="278"/>
      <c r="C25" s="279"/>
      <c r="D25" s="279"/>
      <c r="E25" s="279" t="s">
        <v>204</v>
      </c>
      <c r="F25" s="280"/>
      <c r="G25" s="66"/>
      <c r="H25" s="66"/>
      <c r="I25" s="282"/>
      <c r="J25" s="66"/>
      <c r="K25" s="282"/>
      <c r="L25" s="66">
        <f>G25+I25-K25</f>
        <v>0</v>
      </c>
      <c r="M25" s="66"/>
      <c r="N25" s="66">
        <f>'PENDAPATAN LO'!M11</f>
        <v>0</v>
      </c>
      <c r="O25" s="66"/>
      <c r="P25" s="66">
        <f>'PENDAPATAN LO'!I11</f>
        <v>0</v>
      </c>
      <c r="Q25" s="66">
        <f>L25+N25-P25</f>
        <v>0</v>
      </c>
      <c r="R25" s="66"/>
      <c r="S25" s="66"/>
      <c r="T25" s="66"/>
      <c r="U25" s="66"/>
      <c r="V25" s="66">
        <f>Q25+S25-U25</f>
        <v>0</v>
      </c>
      <c r="W25" s="285"/>
    </row>
    <row r="26" spans="1:24" s="281" customFormat="1" ht="27" customHeight="1" x14ac:dyDescent="0.3">
      <c r="A26" s="273">
        <v>15</v>
      </c>
      <c r="B26" s="278"/>
      <c r="C26" s="279"/>
      <c r="D26" s="279"/>
      <c r="E26" s="279" t="s">
        <v>205</v>
      </c>
      <c r="F26" s="280"/>
      <c r="G26" s="66">
        <v>0</v>
      </c>
      <c r="H26" s="66"/>
      <c r="I26" s="282"/>
      <c r="J26" s="66"/>
      <c r="K26" s="66"/>
      <c r="L26" s="66">
        <f>G26+I26-K26</f>
        <v>0</v>
      </c>
      <c r="M26" s="66"/>
      <c r="N26" s="66">
        <f>'PENDAPATAN LO'!M17</f>
        <v>0</v>
      </c>
      <c r="O26" s="66"/>
      <c r="P26" s="66">
        <f>'PENDAPATAN LO'!I17</f>
        <v>0</v>
      </c>
      <c r="Q26" s="66">
        <f>L26+N26-P26</f>
        <v>0</v>
      </c>
      <c r="R26" s="66"/>
      <c r="S26" s="66"/>
      <c r="T26" s="66"/>
      <c r="U26" s="66"/>
      <c r="V26" s="66">
        <f>Q26+S26-U26</f>
        <v>0</v>
      </c>
      <c r="W26" s="285"/>
    </row>
    <row r="27" spans="1:24" s="281" customFormat="1" ht="27" customHeight="1" x14ac:dyDescent="0.3">
      <c r="A27" s="273">
        <v>16</v>
      </c>
      <c r="B27" s="278"/>
      <c r="C27" s="279"/>
      <c r="D27" s="279"/>
      <c r="E27" s="279" t="s">
        <v>206</v>
      </c>
      <c r="F27" s="280"/>
      <c r="G27" s="66"/>
      <c r="H27" s="66"/>
      <c r="I27" s="66"/>
      <c r="J27" s="66"/>
      <c r="K27" s="66"/>
      <c r="L27" s="66">
        <f>G27+I27-K27</f>
        <v>0</v>
      </c>
      <c r="M27" s="66"/>
      <c r="N27" s="66"/>
      <c r="O27" s="66"/>
      <c r="P27" s="66"/>
      <c r="Q27" s="66">
        <f>L27+N27-P27</f>
        <v>0</v>
      </c>
      <c r="R27" s="66"/>
      <c r="S27" s="66"/>
      <c r="T27" s="66"/>
      <c r="U27" s="66"/>
      <c r="V27" s="66">
        <f>Q27+S27-U27</f>
        <v>0</v>
      </c>
      <c r="W27" s="285"/>
    </row>
    <row r="28" spans="1:24" s="281" customFormat="1" ht="27" customHeight="1" x14ac:dyDescent="0.3">
      <c r="A28" s="273">
        <v>17</v>
      </c>
      <c r="B28" s="278"/>
      <c r="C28" s="279"/>
      <c r="D28" s="279"/>
      <c r="E28" s="279" t="s">
        <v>278</v>
      </c>
      <c r="F28" s="280"/>
      <c r="G28" s="66"/>
      <c r="H28" s="66"/>
      <c r="I28" s="66"/>
      <c r="J28" s="66"/>
      <c r="K28" s="66"/>
      <c r="L28" s="66">
        <f>G28+I28-SUM(K28:K28)</f>
        <v>0</v>
      </c>
      <c r="M28" s="66"/>
      <c r="N28" s="66"/>
      <c r="O28" s="66"/>
      <c r="P28" s="66"/>
      <c r="Q28" s="66">
        <f>L28+N28-SUM(P28:P28)</f>
        <v>0</v>
      </c>
      <c r="R28" s="66"/>
      <c r="S28" s="66"/>
      <c r="T28" s="66"/>
      <c r="U28" s="66"/>
      <c r="V28" s="66">
        <f>Q28+S28-SUM(U28:U28)</f>
        <v>0</v>
      </c>
      <c r="W28" s="285"/>
      <c r="X28" s="283"/>
    </row>
    <row r="29" spans="1:24" s="277" customFormat="1" ht="27" customHeight="1" x14ac:dyDescent="0.3">
      <c r="A29" s="273">
        <v>18</v>
      </c>
      <c r="B29" s="274"/>
      <c r="C29" s="275"/>
      <c r="D29" s="275" t="s">
        <v>207</v>
      </c>
      <c r="E29" s="275"/>
      <c r="F29" s="276"/>
      <c r="G29" s="65">
        <f>SUM(G30:G32)</f>
        <v>320290245.83333325</v>
      </c>
      <c r="H29" s="65">
        <f t="shared" ref="H29:Q29" si="0">SUM(H30:H32)</f>
        <v>0</v>
      </c>
      <c r="I29" s="65">
        <f t="shared" si="0"/>
        <v>0</v>
      </c>
      <c r="J29" s="65">
        <f t="shared" si="0"/>
        <v>0</v>
      </c>
      <c r="K29" s="65">
        <f t="shared" si="0"/>
        <v>0</v>
      </c>
      <c r="L29" s="65">
        <f t="shared" si="0"/>
        <v>320290245.83333325</v>
      </c>
      <c r="M29" s="65">
        <f t="shared" si="0"/>
        <v>0</v>
      </c>
      <c r="N29" s="65">
        <f t="shared" si="0"/>
        <v>318089249.99999988</v>
      </c>
      <c r="O29" s="65">
        <f t="shared" si="0"/>
        <v>0</v>
      </c>
      <c r="P29" s="65">
        <f t="shared" si="0"/>
        <v>320290245.83333325</v>
      </c>
      <c r="Q29" s="65">
        <f t="shared" si="0"/>
        <v>318089249.99999988</v>
      </c>
      <c r="R29" s="65"/>
      <c r="S29" s="65">
        <f>SUM(S30)</f>
        <v>0</v>
      </c>
      <c r="T29" s="65"/>
      <c r="U29" s="65">
        <f>SUM(U30)</f>
        <v>0</v>
      </c>
      <c r="V29" s="65">
        <f>SUM(V30)</f>
        <v>318089249.99999988</v>
      </c>
      <c r="W29" s="583"/>
    </row>
    <row r="30" spans="1:24" s="281" customFormat="1" ht="27" customHeight="1" x14ac:dyDescent="0.3">
      <c r="A30" s="273">
        <v>19</v>
      </c>
      <c r="B30" s="278"/>
      <c r="C30" s="279"/>
      <c r="D30" s="279"/>
      <c r="E30" s="279" t="s">
        <v>793</v>
      </c>
      <c r="F30" s="280"/>
      <c r="G30" s="66">
        <v>320290245.83333325</v>
      </c>
      <c r="H30" s="66"/>
      <c r="I30" s="66"/>
      <c r="J30" s="66"/>
      <c r="K30" s="66"/>
      <c r="L30" s="66">
        <f>G30+I30-K30</f>
        <v>320290245.83333325</v>
      </c>
      <c r="M30" s="66"/>
      <c r="N30" s="66">
        <f>'BEBAN PREMI ASURANSI'!K17+'BEBAN SEWA'!K45</f>
        <v>318089249.99999988</v>
      </c>
      <c r="O30" s="66"/>
      <c r="P30" s="66">
        <f>L30</f>
        <v>320290245.83333325</v>
      </c>
      <c r="Q30" s="66">
        <f>L30+N30-SUM(P30:P30)</f>
        <v>318089249.99999988</v>
      </c>
      <c r="R30" s="66"/>
      <c r="S30" s="66"/>
      <c r="T30" s="66"/>
      <c r="U30" s="66"/>
      <c r="V30" s="66">
        <f>Q30+S30-U30</f>
        <v>318089249.99999988</v>
      </c>
      <c r="W30" s="285">
        <f>'BEBAN PREMI ASURANSI'!K17</f>
        <v>318089249.99999988</v>
      </c>
      <c r="X30" s="284">
        <f>+Q30-W30</f>
        <v>0</v>
      </c>
    </row>
    <row r="31" spans="1:24" s="281" customFormat="1" ht="27" customHeight="1" x14ac:dyDescent="0.3">
      <c r="A31" s="273"/>
      <c r="B31" s="278"/>
      <c r="C31" s="279"/>
      <c r="D31" s="279"/>
      <c r="E31" s="279" t="s">
        <v>794</v>
      </c>
      <c r="F31" s="280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285"/>
      <c r="X31" s="284"/>
    </row>
    <row r="32" spans="1:24" s="281" customFormat="1" ht="27" customHeight="1" x14ac:dyDescent="0.3">
      <c r="A32" s="273"/>
      <c r="B32" s="278"/>
      <c r="C32" s="279"/>
      <c r="D32" s="279"/>
      <c r="E32" s="279" t="s">
        <v>795</v>
      </c>
      <c r="F32" s="280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285"/>
      <c r="X32" s="284"/>
    </row>
    <row r="33" spans="1:25" s="277" customFormat="1" ht="27" customHeight="1" x14ac:dyDescent="0.3">
      <c r="A33" s="273">
        <v>20</v>
      </c>
      <c r="B33" s="274"/>
      <c r="C33" s="275"/>
      <c r="D33" s="275" t="s">
        <v>208</v>
      </c>
      <c r="E33" s="275"/>
      <c r="F33" s="276"/>
      <c r="G33" s="65">
        <f>SUM(G34:G39)</f>
        <v>47926228</v>
      </c>
      <c r="H33" s="65">
        <f t="shared" ref="H33:Q33" si="1">SUM(H34:H39)</f>
        <v>0</v>
      </c>
      <c r="I33" s="65">
        <f t="shared" si="1"/>
        <v>0</v>
      </c>
      <c r="J33" s="65">
        <f t="shared" si="1"/>
        <v>0</v>
      </c>
      <c r="K33" s="65">
        <f t="shared" si="1"/>
        <v>0</v>
      </c>
      <c r="L33" s="65">
        <f>SUM(L34:L39)</f>
        <v>47926228</v>
      </c>
      <c r="M33" s="65">
        <f t="shared" si="1"/>
        <v>0</v>
      </c>
      <c r="N33" s="65">
        <f t="shared" si="1"/>
        <v>62358353</v>
      </c>
      <c r="O33" s="65">
        <f t="shared" si="1"/>
        <v>0</v>
      </c>
      <c r="P33" s="65">
        <f t="shared" si="1"/>
        <v>47926228</v>
      </c>
      <c r="Q33" s="65">
        <f t="shared" si="1"/>
        <v>62358353</v>
      </c>
      <c r="R33" s="65"/>
      <c r="S33" s="65"/>
      <c r="T33" s="65"/>
      <c r="U33" s="65"/>
      <c r="V33" s="65">
        <f>SUM(V34)</f>
        <v>42787915</v>
      </c>
      <c r="W33" s="583">
        <f>'BEBAN PERSEDIAAN'!L121</f>
        <v>62358353</v>
      </c>
      <c r="X33" s="577">
        <f>+Q33-W33</f>
        <v>0</v>
      </c>
    </row>
    <row r="34" spans="1:25" s="281" customFormat="1" ht="27" customHeight="1" x14ac:dyDescent="0.3">
      <c r="A34" s="273">
        <v>21</v>
      </c>
      <c r="B34" s="278"/>
      <c r="C34" s="279"/>
      <c r="D34" s="279"/>
      <c r="E34" s="279" t="s">
        <v>787</v>
      </c>
      <c r="F34" s="280"/>
      <c r="G34" s="66">
        <v>805200</v>
      </c>
      <c r="H34" s="66"/>
      <c r="I34" s="66"/>
      <c r="J34" s="66"/>
      <c r="K34" s="66"/>
      <c r="L34" s="66">
        <f t="shared" ref="L34:L39" si="2">G34+SUM(I34:I34)-K34</f>
        <v>805200</v>
      </c>
      <c r="M34" s="66"/>
      <c r="N34" s="66">
        <f>'BEBAN PERSEDIAAN'!L28+'BEBAN PERSEDIAAN'!L108</f>
        <v>42787915</v>
      </c>
      <c r="O34" s="66"/>
      <c r="P34" s="66">
        <f>+L34</f>
        <v>805200</v>
      </c>
      <c r="Q34" s="66">
        <f t="shared" ref="Q34:Q39" si="3">L34+SUM(N34:N34)-P34</f>
        <v>42787915</v>
      </c>
      <c r="R34" s="66"/>
      <c r="S34" s="66"/>
      <c r="T34" s="66"/>
      <c r="U34" s="66"/>
      <c r="V34" s="66">
        <f>Q34+SUM(S34:S34)-U34</f>
        <v>42787915</v>
      </c>
      <c r="W34" s="285">
        <f>'BEBAN PERSEDIAAN'!L28</f>
        <v>42787915</v>
      </c>
      <c r="X34" s="284">
        <f>+Q34-W34</f>
        <v>0</v>
      </c>
      <c r="Y34" s="283">
        <f>+N34-P34</f>
        <v>41982715</v>
      </c>
    </row>
    <row r="35" spans="1:25" s="281" customFormat="1" ht="27" customHeight="1" x14ac:dyDescent="0.3">
      <c r="A35" s="273"/>
      <c r="B35" s="278"/>
      <c r="C35" s="279"/>
      <c r="D35" s="279"/>
      <c r="E35" s="279" t="s">
        <v>788</v>
      </c>
      <c r="F35" s="280"/>
      <c r="G35" s="66">
        <v>4372528</v>
      </c>
      <c r="H35" s="66"/>
      <c r="I35" s="66"/>
      <c r="J35" s="66"/>
      <c r="K35" s="66"/>
      <c r="L35" s="66">
        <f t="shared" si="2"/>
        <v>4372528</v>
      </c>
      <c r="M35" s="66"/>
      <c r="N35" s="66">
        <f>'BEBAN PERSEDIAAN'!L47+'BEBAN PERSEDIAAN'!L109</f>
        <v>12532438</v>
      </c>
      <c r="O35" s="66"/>
      <c r="P35" s="66">
        <f>+L35</f>
        <v>4372528</v>
      </c>
      <c r="Q35" s="66">
        <f t="shared" si="3"/>
        <v>12532438</v>
      </c>
      <c r="R35" s="66"/>
      <c r="S35" s="66"/>
      <c r="T35" s="66"/>
      <c r="U35" s="66"/>
      <c r="V35" s="66"/>
      <c r="W35" s="285">
        <f>'BEBAN PERSEDIAAN'!L47</f>
        <v>12532438</v>
      </c>
      <c r="X35" s="284">
        <f t="shared" ref="X35:X37" si="4">+Q35-W35</f>
        <v>0</v>
      </c>
      <c r="Y35" s="283">
        <f t="shared" ref="Y35:Y36" si="5">+N35-P35</f>
        <v>8159910</v>
      </c>
    </row>
    <row r="36" spans="1:25" s="281" customFormat="1" ht="27" customHeight="1" x14ac:dyDescent="0.3">
      <c r="A36" s="273"/>
      <c r="B36" s="278"/>
      <c r="C36" s="279"/>
      <c r="D36" s="279"/>
      <c r="E36" s="279" t="s">
        <v>789</v>
      </c>
      <c r="F36" s="280"/>
      <c r="G36" s="66">
        <v>42294500</v>
      </c>
      <c r="H36" s="66"/>
      <c r="I36" s="66"/>
      <c r="J36" s="66"/>
      <c r="K36" s="66"/>
      <c r="L36" s="66">
        <f t="shared" si="2"/>
        <v>42294500</v>
      </c>
      <c r="M36" s="66"/>
      <c r="N36" s="66">
        <f>'BEBAN PERSEDIAAN'!L48+'BEBAN PERSEDIAAN'!L50</f>
        <v>7038000</v>
      </c>
      <c r="O36" s="66"/>
      <c r="P36" s="66">
        <f>+L36</f>
        <v>42294500</v>
      </c>
      <c r="Q36" s="66">
        <f t="shared" si="3"/>
        <v>7038000</v>
      </c>
      <c r="R36" s="66"/>
      <c r="S36" s="66"/>
      <c r="T36" s="66"/>
      <c r="U36" s="66"/>
      <c r="V36" s="66"/>
      <c r="W36" s="285">
        <f>'BEBAN PERSEDIAAN'!L52</f>
        <v>7038000</v>
      </c>
      <c r="X36" s="284">
        <f t="shared" si="4"/>
        <v>0</v>
      </c>
      <c r="Y36" s="283">
        <f t="shared" si="5"/>
        <v>-35256500</v>
      </c>
    </row>
    <row r="37" spans="1:25" s="281" customFormat="1" ht="27" customHeight="1" x14ac:dyDescent="0.3">
      <c r="A37" s="273"/>
      <c r="B37" s="278"/>
      <c r="C37" s="279"/>
      <c r="D37" s="279"/>
      <c r="E37" s="279" t="s">
        <v>790</v>
      </c>
      <c r="F37" s="280"/>
      <c r="G37" s="66">
        <v>454000</v>
      </c>
      <c r="H37" s="66"/>
      <c r="I37" s="66"/>
      <c r="J37" s="66"/>
      <c r="K37" s="66"/>
      <c r="L37" s="66">
        <f t="shared" si="2"/>
        <v>454000</v>
      </c>
      <c r="M37" s="66"/>
      <c r="N37" s="66">
        <f>+'BEBAN PERSEDIAAN'!L60+'BEBAN PERSEDIAAN'!L64+'BEBAN PERSEDIAAN'!L72+'BEBAN PERSEDIAAN'!L112+'BEBAN PERSEDIAAN'!L113+'BEBAN PERSEDIAAN'!L114</f>
        <v>0</v>
      </c>
      <c r="O37" s="66"/>
      <c r="P37" s="66">
        <f>+L37</f>
        <v>454000</v>
      </c>
      <c r="Q37" s="66">
        <f t="shared" si="3"/>
        <v>0</v>
      </c>
      <c r="R37" s="66"/>
      <c r="S37" s="66"/>
      <c r="T37" s="66"/>
      <c r="U37" s="66"/>
      <c r="V37" s="66"/>
      <c r="W37" s="285"/>
      <c r="X37" s="284">
        <f t="shared" si="4"/>
        <v>0</v>
      </c>
    </row>
    <row r="38" spans="1:25" s="281" customFormat="1" ht="27" customHeight="1" x14ac:dyDescent="0.3">
      <c r="A38" s="273"/>
      <c r="B38" s="278"/>
      <c r="C38" s="279"/>
      <c r="D38" s="279"/>
      <c r="E38" s="279" t="s">
        <v>791</v>
      </c>
      <c r="F38" s="280"/>
      <c r="G38" s="66"/>
      <c r="H38" s="66"/>
      <c r="I38" s="66"/>
      <c r="J38" s="66"/>
      <c r="K38" s="66"/>
      <c r="L38" s="66">
        <f t="shared" si="2"/>
        <v>0</v>
      </c>
      <c r="M38" s="66"/>
      <c r="N38" s="66">
        <f>'BEBAN PERSEDIAAN'!L81</f>
        <v>0</v>
      </c>
      <c r="O38" s="66"/>
      <c r="P38" s="66"/>
      <c r="Q38" s="66">
        <f t="shared" si="3"/>
        <v>0</v>
      </c>
      <c r="R38" s="66"/>
      <c r="S38" s="66"/>
      <c r="T38" s="66"/>
      <c r="U38" s="66"/>
      <c r="V38" s="66"/>
      <c r="W38" s="285"/>
    </row>
    <row r="39" spans="1:25" s="281" customFormat="1" ht="27" customHeight="1" x14ac:dyDescent="0.3">
      <c r="A39" s="273"/>
      <c r="B39" s="278"/>
      <c r="C39" s="279"/>
      <c r="D39" s="279"/>
      <c r="E39" s="279" t="s">
        <v>792</v>
      </c>
      <c r="F39" s="280"/>
      <c r="G39" s="66"/>
      <c r="H39" s="66"/>
      <c r="I39" s="66"/>
      <c r="J39" s="66"/>
      <c r="K39" s="66"/>
      <c r="L39" s="66">
        <f t="shared" si="2"/>
        <v>0</v>
      </c>
      <c r="M39" s="66"/>
      <c r="N39" s="66">
        <f>+'BEBAN PERSEDIAAN'!L85+'BEBAN PERSEDIAAN'!L90+'BEBAN PERSEDIAAN'!L101+'BEBAN PERSEDIAAN'!L105+'BEBAN PERSEDIAAN'!L115+'BEBAN PERSEDIAAN'!L116+'BEBAN PERSEDIAAN'!L117+'BEBAN PERSEDIAAN'!L118</f>
        <v>0</v>
      </c>
      <c r="O39" s="66"/>
      <c r="P39" s="66"/>
      <c r="Q39" s="66">
        <f t="shared" si="3"/>
        <v>0</v>
      </c>
      <c r="R39" s="66"/>
      <c r="S39" s="66"/>
      <c r="T39" s="66"/>
      <c r="U39" s="66"/>
      <c r="V39" s="66"/>
      <c r="W39" s="285"/>
    </row>
    <row r="40" spans="1:25" s="277" customFormat="1" ht="27" customHeight="1" x14ac:dyDescent="0.3">
      <c r="A40" s="273">
        <v>22</v>
      </c>
      <c r="B40" s="274"/>
      <c r="C40" s="275"/>
      <c r="D40" s="275"/>
      <c r="E40" s="799" t="s">
        <v>483</v>
      </c>
      <c r="F40" s="800"/>
      <c r="G40" s="65">
        <f>G16+G22+G24+G29+G33</f>
        <v>368216473.83333325</v>
      </c>
      <c r="H40" s="65"/>
      <c r="I40" s="65"/>
      <c r="J40" s="65"/>
      <c r="K40" s="65"/>
      <c r="L40" s="65">
        <f>L16+L22+L24+L29+L33</f>
        <v>368216473.83333325</v>
      </c>
      <c r="M40" s="65"/>
      <c r="N40" s="65">
        <f>N16+N22+N24+N29+N33</f>
        <v>380456184.99999988</v>
      </c>
      <c r="O40" s="65"/>
      <c r="P40" s="65">
        <f>P16+P22+P24+P29+P33</f>
        <v>368216473.83333325</v>
      </c>
      <c r="Q40" s="65">
        <f>Q16+Q22+Q24+Q29+Q33</f>
        <v>380456184.99999988</v>
      </c>
      <c r="R40" s="65"/>
      <c r="S40" s="65"/>
      <c r="T40" s="65"/>
      <c r="U40" s="65"/>
      <c r="V40" s="65" t="e">
        <f>+V16+#REF!+V24+V33+V29</f>
        <v>#REF!</v>
      </c>
      <c r="W40" s="583"/>
      <c r="X40" s="577"/>
    </row>
    <row r="41" spans="1:25" s="277" customFormat="1" ht="27" customHeight="1" x14ac:dyDescent="0.3">
      <c r="A41" s="273"/>
      <c r="B41" s="274"/>
      <c r="C41" s="275"/>
      <c r="D41" s="275"/>
      <c r="E41" s="275"/>
      <c r="F41" s="276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583"/>
      <c r="X41" s="694"/>
    </row>
    <row r="42" spans="1:25" s="277" customFormat="1" ht="27" customHeight="1" x14ac:dyDescent="0.3">
      <c r="A42" s="273">
        <v>23</v>
      </c>
      <c r="B42" s="274"/>
      <c r="C42" s="275" t="s">
        <v>209</v>
      </c>
      <c r="D42" s="275"/>
      <c r="E42" s="275"/>
      <c r="F42" s="276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583"/>
    </row>
    <row r="43" spans="1:25" s="277" customFormat="1" ht="27" customHeight="1" x14ac:dyDescent="0.3">
      <c r="A43" s="273">
        <v>24</v>
      </c>
      <c r="B43" s="274"/>
      <c r="C43" s="275"/>
      <c r="D43" s="275" t="s">
        <v>210</v>
      </c>
      <c r="E43" s="275"/>
      <c r="F43" s="276"/>
      <c r="G43" s="65">
        <f>SUM(G44:G45)</f>
        <v>0</v>
      </c>
      <c r="H43" s="65"/>
      <c r="I43" s="65"/>
      <c r="J43" s="65"/>
      <c r="K43" s="65"/>
      <c r="L43" s="65">
        <f>SUM(L44:L45)</f>
        <v>0</v>
      </c>
      <c r="M43" s="65"/>
      <c r="N43" s="65">
        <f>SUM(N44:N45)</f>
        <v>0</v>
      </c>
      <c r="O43" s="65"/>
      <c r="P43" s="65">
        <f>SUM(P44:P45)</f>
        <v>0</v>
      </c>
      <c r="Q43" s="65">
        <f>SUM(Q44:Q45)</f>
        <v>0</v>
      </c>
      <c r="R43" s="65"/>
      <c r="S43" s="65"/>
      <c r="T43" s="65"/>
      <c r="U43" s="65"/>
      <c r="V43" s="65">
        <f>SUM(V44:V45)</f>
        <v>0</v>
      </c>
      <c r="W43" s="583"/>
    </row>
    <row r="44" spans="1:25" s="281" customFormat="1" ht="27" customHeight="1" x14ac:dyDescent="0.3">
      <c r="A44" s="273">
        <v>25</v>
      </c>
      <c r="B44" s="278"/>
      <c r="C44" s="279"/>
      <c r="D44" s="279"/>
      <c r="E44" s="279" t="s">
        <v>211</v>
      </c>
      <c r="F44" s="280"/>
      <c r="G44" s="66"/>
      <c r="H44" s="66"/>
      <c r="I44" s="66"/>
      <c r="J44" s="66"/>
      <c r="K44" s="66"/>
      <c r="L44" s="66">
        <f>G44+I44-K44</f>
        <v>0</v>
      </c>
      <c r="M44" s="66"/>
      <c r="N44" s="66"/>
      <c r="O44" s="66"/>
      <c r="P44" s="66"/>
      <c r="Q44" s="66">
        <f>L44+N44-P44</f>
        <v>0</v>
      </c>
      <c r="R44" s="66"/>
      <c r="S44" s="66"/>
      <c r="T44" s="66"/>
      <c r="U44" s="66"/>
      <c r="V44" s="66">
        <f>Q44+S44-U44</f>
        <v>0</v>
      </c>
      <c r="W44" s="285"/>
    </row>
    <row r="45" spans="1:25" s="281" customFormat="1" ht="27" customHeight="1" x14ac:dyDescent="0.3">
      <c r="A45" s="273">
        <v>26</v>
      </c>
      <c r="B45" s="278"/>
      <c r="C45" s="279"/>
      <c r="D45" s="279"/>
      <c r="E45" s="279" t="s">
        <v>279</v>
      </c>
      <c r="F45" s="280"/>
      <c r="G45" s="66"/>
      <c r="H45" s="66"/>
      <c r="I45" s="66"/>
      <c r="J45" s="66"/>
      <c r="K45" s="66"/>
      <c r="L45" s="66">
        <f>G45+I45-K45</f>
        <v>0</v>
      </c>
      <c r="M45" s="66"/>
      <c r="N45" s="66"/>
      <c r="O45" s="66"/>
      <c r="P45" s="66"/>
      <c r="Q45" s="66">
        <f>L45+N45-P45</f>
        <v>0</v>
      </c>
      <c r="R45" s="66"/>
      <c r="S45" s="66"/>
      <c r="T45" s="66"/>
      <c r="U45" s="66"/>
      <c r="V45" s="66">
        <f>Q45+S45-U45</f>
        <v>0</v>
      </c>
      <c r="W45" s="285"/>
    </row>
    <row r="46" spans="1:25" s="281" customFormat="1" ht="27" customHeight="1" x14ac:dyDescent="0.3">
      <c r="A46" s="273">
        <v>27</v>
      </c>
      <c r="B46" s="278"/>
      <c r="C46" s="279"/>
      <c r="D46" s="275" t="s">
        <v>212</v>
      </c>
      <c r="E46" s="279"/>
      <c r="F46" s="280"/>
      <c r="G46" s="65">
        <f>SUM(G47)</f>
        <v>0</v>
      </c>
      <c r="H46" s="65"/>
      <c r="I46" s="65"/>
      <c r="J46" s="65"/>
      <c r="K46" s="65"/>
      <c r="L46" s="65">
        <f>SUM(L47)</f>
        <v>0</v>
      </c>
      <c r="M46" s="65"/>
      <c r="N46" s="65">
        <f>SUM(N47)</f>
        <v>0</v>
      </c>
      <c r="O46" s="65"/>
      <c r="P46" s="65">
        <f>SUM(P47)</f>
        <v>0</v>
      </c>
      <c r="Q46" s="65">
        <f>SUM(Q47)</f>
        <v>0</v>
      </c>
      <c r="R46" s="65"/>
      <c r="S46" s="65"/>
      <c r="T46" s="65"/>
      <c r="U46" s="65"/>
      <c r="V46" s="65">
        <f>SUM(V47)</f>
        <v>0</v>
      </c>
      <c r="W46" s="285"/>
    </row>
    <row r="47" spans="1:25" s="281" customFormat="1" ht="27" customHeight="1" x14ac:dyDescent="0.3">
      <c r="A47" s="273">
        <v>28</v>
      </c>
      <c r="B47" s="278"/>
      <c r="C47" s="279"/>
      <c r="D47" s="279"/>
      <c r="E47" s="279" t="s">
        <v>213</v>
      </c>
      <c r="F47" s="280"/>
      <c r="G47" s="66"/>
      <c r="H47" s="66"/>
      <c r="I47" s="66"/>
      <c r="J47" s="66"/>
      <c r="K47" s="66"/>
      <c r="L47" s="66">
        <f>G47+I47-K47</f>
        <v>0</v>
      </c>
      <c r="M47" s="66"/>
      <c r="N47" s="66"/>
      <c r="O47" s="66"/>
      <c r="P47" s="66"/>
      <c r="Q47" s="66">
        <f>L47+N47-P47</f>
        <v>0</v>
      </c>
      <c r="R47" s="66"/>
      <c r="S47" s="66"/>
      <c r="T47" s="66"/>
      <c r="U47" s="66"/>
      <c r="V47" s="66">
        <f>Q47+S47-U47</f>
        <v>0</v>
      </c>
      <c r="W47" s="285"/>
    </row>
    <row r="48" spans="1:25" s="281" customFormat="1" ht="27" customHeight="1" x14ac:dyDescent="0.3">
      <c r="A48" s="273">
        <v>29</v>
      </c>
      <c r="B48" s="278"/>
      <c r="C48" s="279"/>
      <c r="D48" s="279"/>
      <c r="E48" s="279" t="s">
        <v>280</v>
      </c>
      <c r="F48" s="280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285"/>
    </row>
    <row r="49" spans="1:24" s="277" customFormat="1" ht="27" customHeight="1" x14ac:dyDescent="0.3">
      <c r="A49" s="273">
        <v>30</v>
      </c>
      <c r="B49" s="274"/>
      <c r="C49" s="275"/>
      <c r="D49" s="275"/>
      <c r="E49" s="799" t="s">
        <v>484</v>
      </c>
      <c r="F49" s="800"/>
      <c r="G49" s="65">
        <f>+G43+G46</f>
        <v>0</v>
      </c>
      <c r="H49" s="65"/>
      <c r="I49" s="65"/>
      <c r="J49" s="65"/>
      <c r="K49" s="65"/>
      <c r="L49" s="65">
        <f>+L43+L46</f>
        <v>0</v>
      </c>
      <c r="M49" s="65"/>
      <c r="N49" s="65">
        <f>+N43+N46</f>
        <v>0</v>
      </c>
      <c r="O49" s="65"/>
      <c r="P49" s="65">
        <f>+P43+P46</f>
        <v>0</v>
      </c>
      <c r="Q49" s="65">
        <f>+Q43+Q46</f>
        <v>0</v>
      </c>
      <c r="R49" s="65"/>
      <c r="S49" s="65"/>
      <c r="T49" s="65"/>
      <c r="U49" s="65"/>
      <c r="V49" s="65">
        <f>+V43+V46</f>
        <v>0</v>
      </c>
      <c r="W49" s="583"/>
    </row>
    <row r="50" spans="1:24" s="281" customFormat="1" ht="27" customHeight="1" x14ac:dyDescent="0.3">
      <c r="A50" s="273"/>
      <c r="B50" s="278"/>
      <c r="C50" s="279"/>
      <c r="D50" s="279"/>
      <c r="E50" s="279"/>
      <c r="F50" s="280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285"/>
    </row>
    <row r="51" spans="1:24" s="281" customFormat="1" ht="27" customHeight="1" x14ac:dyDescent="0.3">
      <c r="A51" s="273"/>
      <c r="B51" s="278"/>
      <c r="C51" s="279"/>
      <c r="D51" s="279"/>
      <c r="E51" s="279"/>
      <c r="F51" s="280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285"/>
    </row>
    <row r="52" spans="1:24" s="281" customFormat="1" ht="27" customHeight="1" x14ac:dyDescent="0.3">
      <c r="A52" s="273">
        <v>31</v>
      </c>
      <c r="B52" s="278"/>
      <c r="C52" s="275" t="s">
        <v>214</v>
      </c>
      <c r="D52" s="279"/>
      <c r="E52" s="279"/>
      <c r="F52" s="280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285"/>
    </row>
    <row r="53" spans="1:24" s="277" customFormat="1" ht="27" customHeight="1" x14ac:dyDescent="0.3">
      <c r="A53" s="273">
        <v>32</v>
      </c>
      <c r="B53" s="274"/>
      <c r="C53" s="275"/>
      <c r="D53" s="275" t="s">
        <v>215</v>
      </c>
      <c r="E53" s="275"/>
      <c r="F53" s="276"/>
      <c r="G53" s="65">
        <f>SUM(G54)</f>
        <v>170297140000</v>
      </c>
      <c r="H53" s="65"/>
      <c r="I53" s="65"/>
      <c r="J53" s="65"/>
      <c r="K53" s="65"/>
      <c r="L53" s="65">
        <f>SUM(L54)</f>
        <v>170297140000</v>
      </c>
      <c r="M53" s="65"/>
      <c r="N53" s="65">
        <f>SUM(N54)</f>
        <v>0</v>
      </c>
      <c r="O53" s="65"/>
      <c r="P53" s="65">
        <f>SUM(P54)</f>
        <v>2692500000</v>
      </c>
      <c r="Q53" s="65">
        <f>SUM(Q54)</f>
        <v>167604640000</v>
      </c>
      <c r="R53" s="65"/>
      <c r="S53" s="65"/>
      <c r="T53" s="65"/>
      <c r="U53" s="65"/>
      <c r="V53" s="65">
        <f>SUM(V54)</f>
        <v>167604640000</v>
      </c>
      <c r="W53" s="583"/>
    </row>
    <row r="54" spans="1:24" s="281" customFormat="1" ht="27" customHeight="1" x14ac:dyDescent="0.3">
      <c r="A54" s="273">
        <v>33</v>
      </c>
      <c r="B54" s="278"/>
      <c r="C54" s="279"/>
      <c r="D54" s="279"/>
      <c r="E54" s="279" t="s">
        <v>215</v>
      </c>
      <c r="F54" s="280"/>
      <c r="G54" s="66">
        <v>170297140000</v>
      </c>
      <c r="H54" s="66"/>
      <c r="I54" s="66"/>
      <c r="J54" s="66"/>
      <c r="K54" s="66"/>
      <c r="L54" s="66">
        <f>+G54+SUM(I54:I54)-SUM(K54:K54)</f>
        <v>170297140000</v>
      </c>
      <c r="M54" s="66"/>
      <c r="N54" s="66">
        <f>+'ASET TETAP'!T11</f>
        <v>0</v>
      </c>
      <c r="O54" s="66"/>
      <c r="P54" s="66">
        <f>+'ASET TETAP'!AH11</f>
        <v>2692500000</v>
      </c>
      <c r="Q54" s="66">
        <f>+L54+SUM(N54:N54)-SUM(P54:P54)</f>
        <v>167604640000</v>
      </c>
      <c r="R54" s="66"/>
      <c r="S54" s="66"/>
      <c r="T54" s="66"/>
      <c r="U54" s="66"/>
      <c r="V54" s="66">
        <f>+Q54+SUM(S54:S54)-SUM(U54:U54)</f>
        <v>167604640000</v>
      </c>
      <c r="W54" s="285">
        <f>'ASET TETAP'!AJ11</f>
        <v>167604640000</v>
      </c>
      <c r="X54" s="284">
        <f>+Q54-W54</f>
        <v>0</v>
      </c>
    </row>
    <row r="55" spans="1:24" s="277" customFormat="1" ht="27" customHeight="1" x14ac:dyDescent="0.3">
      <c r="A55" s="273">
        <v>34</v>
      </c>
      <c r="B55" s="274"/>
      <c r="C55" s="275"/>
      <c r="D55" s="275" t="s">
        <v>216</v>
      </c>
      <c r="E55" s="275"/>
      <c r="F55" s="276"/>
      <c r="G55" s="65">
        <f>SUM(G56:G64)</f>
        <v>144137782218.00162</v>
      </c>
      <c r="H55" s="65"/>
      <c r="I55" s="65"/>
      <c r="J55" s="65"/>
      <c r="K55" s="65"/>
      <c r="L55" s="65">
        <f>SUM(L56:L64)</f>
        <v>144137782218.00162</v>
      </c>
      <c r="M55" s="65"/>
      <c r="N55" s="65">
        <f>SUM(N56:N64)</f>
        <v>11827645215</v>
      </c>
      <c r="O55" s="65"/>
      <c r="P55" s="65">
        <f>SUM(P56:P64)</f>
        <v>24027852146</v>
      </c>
      <c r="Q55" s="65">
        <f>SUM(Q56:Q64)</f>
        <v>131937575287.00162</v>
      </c>
      <c r="R55" s="65"/>
      <c r="S55" s="65"/>
      <c r="T55" s="65"/>
      <c r="U55" s="65"/>
      <c r="V55" s="65">
        <f>SUM(V56:V64)</f>
        <v>131937575287.00162</v>
      </c>
      <c r="W55" s="583">
        <f>'ASET TETAP'!AJ13</f>
        <v>131937575287.00162</v>
      </c>
      <c r="X55" s="577">
        <f>+Q55-W55</f>
        <v>0</v>
      </c>
    </row>
    <row r="56" spans="1:24" s="281" customFormat="1" ht="27" customHeight="1" x14ac:dyDescent="0.3">
      <c r="A56" s="273">
        <v>35</v>
      </c>
      <c r="B56" s="278"/>
      <c r="C56" s="279"/>
      <c r="D56" s="279"/>
      <c r="E56" s="279" t="s">
        <v>217</v>
      </c>
      <c r="F56" s="280"/>
      <c r="G56" s="66">
        <v>6487455123</v>
      </c>
      <c r="H56" s="66"/>
      <c r="I56" s="66"/>
      <c r="J56" s="66"/>
      <c r="K56" s="66"/>
      <c r="L56" s="66">
        <f>G56+SUM(I56:I56)-K56</f>
        <v>6487455123</v>
      </c>
      <c r="M56" s="66"/>
      <c r="N56" s="66">
        <f>+'ASET TETAP'!T14</f>
        <v>856002500</v>
      </c>
      <c r="O56" s="66"/>
      <c r="P56" s="66">
        <f>+'ASET TETAP'!AH14</f>
        <v>296448000</v>
      </c>
      <c r="Q56" s="66">
        <f>L56+N56-P56</f>
        <v>7047009623</v>
      </c>
      <c r="R56" s="66"/>
      <c r="S56" s="66"/>
      <c r="T56" s="66"/>
      <c r="U56" s="66"/>
      <c r="V56" s="66">
        <f>Q56+SUM(S56:S56)</f>
        <v>7047009623</v>
      </c>
      <c r="W56" s="285"/>
    </row>
    <row r="57" spans="1:24" s="281" customFormat="1" ht="27" customHeight="1" x14ac:dyDescent="0.3">
      <c r="A57" s="273">
        <v>36</v>
      </c>
      <c r="B57" s="278"/>
      <c r="C57" s="279"/>
      <c r="D57" s="279"/>
      <c r="E57" s="279" t="s">
        <v>218</v>
      </c>
      <c r="F57" s="280"/>
      <c r="G57" s="66">
        <v>53034918881</v>
      </c>
      <c r="H57" s="66"/>
      <c r="I57" s="66"/>
      <c r="J57" s="66"/>
      <c r="K57" s="66"/>
      <c r="L57" s="66">
        <f t="shared" ref="L57:L64" si="6">G57+SUM(I57:I57)-K57</f>
        <v>53034918881</v>
      </c>
      <c r="M57" s="66"/>
      <c r="N57" s="66">
        <f>+'ASET TETAP'!T15</f>
        <v>8950522661</v>
      </c>
      <c r="O57" s="66"/>
      <c r="P57" s="66">
        <f>+'ASET TETAP'!AH15</f>
        <v>12200125456</v>
      </c>
      <c r="Q57" s="66">
        <f>L57+N57-P57</f>
        <v>49785316086</v>
      </c>
      <c r="R57" s="66"/>
      <c r="S57" s="66"/>
      <c r="T57" s="66"/>
      <c r="U57" s="66"/>
      <c r="V57" s="66">
        <f>Q57+SUM(S57:S57)-U57</f>
        <v>49785316086</v>
      </c>
      <c r="W57" s="285"/>
    </row>
    <row r="58" spans="1:24" s="281" customFormat="1" ht="27" customHeight="1" x14ac:dyDescent="0.3">
      <c r="A58" s="273">
        <v>37</v>
      </c>
      <c r="B58" s="278"/>
      <c r="C58" s="279"/>
      <c r="D58" s="279"/>
      <c r="E58" s="279" t="s">
        <v>219</v>
      </c>
      <c r="F58" s="280"/>
      <c r="G58" s="66">
        <v>98898000</v>
      </c>
      <c r="H58" s="66"/>
      <c r="I58" s="66"/>
      <c r="J58" s="66"/>
      <c r="K58" s="66"/>
      <c r="L58" s="66">
        <f t="shared" si="6"/>
        <v>98898000</v>
      </c>
      <c r="M58" s="66"/>
      <c r="N58" s="66">
        <f>+'ASET TETAP'!T16</f>
        <v>0</v>
      </c>
      <c r="O58" s="66"/>
      <c r="P58" s="66">
        <f>+'ASET TETAP'!AH16</f>
        <v>0</v>
      </c>
      <c r="Q58" s="66">
        <f>L58+N58-P58</f>
        <v>98898000</v>
      </c>
      <c r="R58" s="66"/>
      <c r="S58" s="66"/>
      <c r="T58" s="66"/>
      <c r="U58" s="66"/>
      <c r="V58" s="66">
        <f>Q58+S58-U58</f>
        <v>98898000</v>
      </c>
      <c r="W58" s="285"/>
    </row>
    <row r="59" spans="1:24" s="281" customFormat="1" ht="27" customHeight="1" x14ac:dyDescent="0.3">
      <c r="A59" s="273">
        <v>38</v>
      </c>
      <c r="B59" s="278"/>
      <c r="C59" s="279"/>
      <c r="D59" s="279"/>
      <c r="E59" s="279" t="s">
        <v>220</v>
      </c>
      <c r="F59" s="280"/>
      <c r="G59" s="66">
        <v>0</v>
      </c>
      <c r="H59" s="66"/>
      <c r="I59" s="66"/>
      <c r="J59" s="66"/>
      <c r="K59" s="66"/>
      <c r="L59" s="66">
        <f t="shared" si="6"/>
        <v>0</v>
      </c>
      <c r="M59" s="66"/>
      <c r="N59" s="66">
        <f>+'ASET TETAP'!T17</f>
        <v>0</v>
      </c>
      <c r="O59" s="66"/>
      <c r="P59" s="66">
        <f>+'ASET TETAP'!AH17</f>
        <v>0</v>
      </c>
      <c r="Q59" s="66">
        <f t="shared" ref="Q59:Q64" si="7">L59+N59-P59</f>
        <v>0</v>
      </c>
      <c r="R59" s="66"/>
      <c r="S59" s="66"/>
      <c r="T59" s="66"/>
      <c r="U59" s="66"/>
      <c r="V59" s="66">
        <f>Q59+S59-U59</f>
        <v>0</v>
      </c>
      <c r="W59" s="285"/>
    </row>
    <row r="60" spans="1:24" s="281" customFormat="1" ht="27" customHeight="1" x14ac:dyDescent="0.3">
      <c r="A60" s="273">
        <v>39</v>
      </c>
      <c r="B60" s="286"/>
      <c r="C60" s="287"/>
      <c r="D60" s="287"/>
      <c r="E60" s="287" t="s">
        <v>221</v>
      </c>
      <c r="F60" s="288"/>
      <c r="G60" s="66">
        <v>62563967661.001625</v>
      </c>
      <c r="H60" s="100"/>
      <c r="I60" s="100"/>
      <c r="J60" s="100"/>
      <c r="K60" s="100"/>
      <c r="L60" s="66">
        <f t="shared" si="6"/>
        <v>62563967661.001625</v>
      </c>
      <c r="M60" s="100"/>
      <c r="N60" s="66">
        <f>+'ASET TETAP'!T18</f>
        <v>1740270054</v>
      </c>
      <c r="O60" s="100"/>
      <c r="P60" s="66">
        <f>+'ASET TETAP'!AH18</f>
        <v>10215264465</v>
      </c>
      <c r="Q60" s="66">
        <f>L60+SUM(N60:N60)-SUM(P60:P60)</f>
        <v>54088973250.001625</v>
      </c>
      <c r="R60" s="100"/>
      <c r="S60" s="100"/>
      <c r="T60" s="100"/>
      <c r="U60" s="100"/>
      <c r="V60" s="66">
        <f>Q60+SUM(S60:S60)-SUM(U60:U60)</f>
        <v>54088973250.001625</v>
      </c>
      <c r="W60" s="285"/>
    </row>
    <row r="61" spans="1:24" s="281" customFormat="1" ht="27" customHeight="1" x14ac:dyDescent="0.3">
      <c r="A61" s="273">
        <v>40</v>
      </c>
      <c r="B61" s="278"/>
      <c r="C61" s="279"/>
      <c r="D61" s="279"/>
      <c r="E61" s="279" t="s">
        <v>222</v>
      </c>
      <c r="F61" s="280"/>
      <c r="G61" s="66">
        <v>20429896003</v>
      </c>
      <c r="H61" s="66"/>
      <c r="I61" s="66"/>
      <c r="J61" s="66"/>
      <c r="K61" s="66"/>
      <c r="L61" s="66">
        <f t="shared" si="6"/>
        <v>20429896003</v>
      </c>
      <c r="M61" s="66"/>
      <c r="N61" s="66">
        <f>+'ASET TETAP'!T19</f>
        <v>280850000</v>
      </c>
      <c r="O61" s="66"/>
      <c r="P61" s="66">
        <f>+'ASET TETAP'!AH19</f>
        <v>1316014225</v>
      </c>
      <c r="Q61" s="66">
        <f>L61+SUM(N61:N61)-SUM(P61:P61)</f>
        <v>19394731778</v>
      </c>
      <c r="R61" s="66"/>
      <c r="S61" s="66"/>
      <c r="T61" s="66"/>
      <c r="U61" s="66"/>
      <c r="V61" s="66">
        <f>Q61+SUM(S61:S61)-SUM(U61:U61)</f>
        <v>19394731778</v>
      </c>
      <c r="W61" s="285"/>
    </row>
    <row r="62" spans="1:24" s="281" customFormat="1" ht="27" customHeight="1" x14ac:dyDescent="0.3">
      <c r="A62" s="273">
        <v>41</v>
      </c>
      <c r="B62" s="289"/>
      <c r="C62" s="290"/>
      <c r="D62" s="290"/>
      <c r="E62" s="290" t="s">
        <v>223</v>
      </c>
      <c r="F62" s="291"/>
      <c r="G62" s="66">
        <v>257615000</v>
      </c>
      <c r="H62" s="101"/>
      <c r="I62" s="101"/>
      <c r="J62" s="101"/>
      <c r="K62" s="101"/>
      <c r="L62" s="66">
        <f t="shared" si="6"/>
        <v>257615000</v>
      </c>
      <c r="M62" s="101"/>
      <c r="N62" s="66">
        <f>+'ASET TETAP'!T20</f>
        <v>0</v>
      </c>
      <c r="O62" s="101"/>
      <c r="P62" s="66">
        <f>+'ASET TETAP'!AH20</f>
        <v>0</v>
      </c>
      <c r="Q62" s="66">
        <f t="shared" si="7"/>
        <v>257615000</v>
      </c>
      <c r="R62" s="101"/>
      <c r="S62" s="101"/>
      <c r="T62" s="101"/>
      <c r="U62" s="101"/>
      <c r="V62" s="66">
        <f>Q62+S62-U62</f>
        <v>257615000</v>
      </c>
      <c r="W62" s="285"/>
    </row>
    <row r="63" spans="1:24" s="281" customFormat="1" ht="27" customHeight="1" x14ac:dyDescent="0.3">
      <c r="A63" s="273">
        <v>42</v>
      </c>
      <c r="B63" s="278"/>
      <c r="C63" s="279"/>
      <c r="D63" s="279"/>
      <c r="E63" s="279" t="s">
        <v>224</v>
      </c>
      <c r="F63" s="280"/>
      <c r="G63" s="66">
        <v>0</v>
      </c>
      <c r="H63" s="66"/>
      <c r="I63" s="66"/>
      <c r="J63" s="66"/>
      <c r="K63" s="66"/>
      <c r="L63" s="66">
        <f t="shared" si="6"/>
        <v>0</v>
      </c>
      <c r="M63" s="66"/>
      <c r="N63" s="66">
        <f>+'ASET TETAP'!T21</f>
        <v>0</v>
      </c>
      <c r="O63" s="66"/>
      <c r="P63" s="66">
        <f>+'ASET TETAP'!AH21</f>
        <v>0</v>
      </c>
      <c r="Q63" s="66">
        <f t="shared" si="7"/>
        <v>0</v>
      </c>
      <c r="R63" s="66"/>
      <c r="S63" s="66"/>
      <c r="T63" s="66"/>
      <c r="U63" s="66"/>
      <c r="V63" s="66">
        <f>Q63+S63-U63</f>
        <v>0</v>
      </c>
      <c r="W63" s="285"/>
    </row>
    <row r="64" spans="1:24" s="281" customFormat="1" ht="27" customHeight="1" x14ac:dyDescent="0.3">
      <c r="A64" s="273">
        <v>43</v>
      </c>
      <c r="B64" s="278"/>
      <c r="C64" s="279"/>
      <c r="D64" s="279"/>
      <c r="E64" s="279" t="s">
        <v>225</v>
      </c>
      <c r="F64" s="280"/>
      <c r="G64" s="66">
        <v>1265031550</v>
      </c>
      <c r="H64" s="66"/>
      <c r="I64" s="66"/>
      <c r="J64" s="66"/>
      <c r="K64" s="66"/>
      <c r="L64" s="66">
        <f t="shared" si="6"/>
        <v>1265031550</v>
      </c>
      <c r="M64" s="66"/>
      <c r="N64" s="66">
        <f>+'ASET TETAP'!T22</f>
        <v>0</v>
      </c>
      <c r="O64" s="66"/>
      <c r="P64" s="66">
        <f>+'ASET TETAP'!AH22</f>
        <v>0</v>
      </c>
      <c r="Q64" s="66">
        <f t="shared" si="7"/>
        <v>1265031550</v>
      </c>
      <c r="R64" s="66"/>
      <c r="S64" s="66"/>
      <c r="T64" s="66"/>
      <c r="U64" s="66"/>
      <c r="V64" s="66">
        <f>Q64+S64-U64</f>
        <v>1265031550</v>
      </c>
      <c r="W64" s="285"/>
    </row>
    <row r="65" spans="1:24" s="277" customFormat="1" ht="27" customHeight="1" x14ac:dyDescent="0.3">
      <c r="A65" s="273">
        <v>44</v>
      </c>
      <c r="B65" s="274"/>
      <c r="C65" s="275"/>
      <c r="D65" s="275" t="s">
        <v>227</v>
      </c>
      <c r="E65" s="275"/>
      <c r="F65" s="276"/>
      <c r="G65" s="65">
        <f>SUM(G66:G67)</f>
        <v>102507090730</v>
      </c>
      <c r="H65" s="65"/>
      <c r="I65" s="65"/>
      <c r="J65" s="65"/>
      <c r="K65" s="65"/>
      <c r="L65" s="65">
        <f>SUM(L66:L67)</f>
        <v>102507090730</v>
      </c>
      <c r="M65" s="65"/>
      <c r="N65" s="65">
        <f>SUM(N66:N67)</f>
        <v>0</v>
      </c>
      <c r="O65" s="65"/>
      <c r="P65" s="65">
        <f>SUM(P66:P67)</f>
        <v>1623955560</v>
      </c>
      <c r="Q65" s="65">
        <f>SUM(Q66:Q67)</f>
        <v>100883135170</v>
      </c>
      <c r="R65" s="65"/>
      <c r="S65" s="65"/>
      <c r="T65" s="65"/>
      <c r="U65" s="65"/>
      <c r="V65" s="65">
        <f>SUM(V66:V67)</f>
        <v>100883135170</v>
      </c>
      <c r="W65" s="583">
        <f>'ASET TETAP'!AJ24</f>
        <v>100883135170</v>
      </c>
      <c r="X65" s="577">
        <f>+Q65-W65</f>
        <v>0</v>
      </c>
    </row>
    <row r="66" spans="1:24" s="281" customFormat="1" ht="27" customHeight="1" x14ac:dyDescent="0.3">
      <c r="A66" s="273">
        <v>45</v>
      </c>
      <c r="B66" s="278"/>
      <c r="C66" s="279"/>
      <c r="D66" s="279"/>
      <c r="E66" s="279" t="s">
        <v>228</v>
      </c>
      <c r="F66" s="280"/>
      <c r="G66" s="66">
        <v>102507090730</v>
      </c>
      <c r="H66" s="66"/>
      <c r="I66" s="66"/>
      <c r="J66" s="66"/>
      <c r="K66" s="66"/>
      <c r="L66" s="66">
        <f>+G66+SUM(I66:I66)-SUM(K66:K66)</f>
        <v>102507090730</v>
      </c>
      <c r="M66" s="66"/>
      <c r="N66" s="66">
        <f>+'ASET TETAP'!T25</f>
        <v>0</v>
      </c>
      <c r="O66" s="66"/>
      <c r="P66" s="66">
        <f>+'ASET TETAP'!AH25</f>
        <v>1623955560</v>
      </c>
      <c r="Q66" s="66">
        <f>+L66+SUM(N66:N66)-SUM(P66:P66)</f>
        <v>100883135170</v>
      </c>
      <c r="R66" s="66"/>
      <c r="S66" s="66"/>
      <c r="T66" s="66"/>
      <c r="U66" s="66"/>
      <c r="V66" s="66">
        <f>+Q66+SUM(S66:S66)-SUM(U66:U66)</f>
        <v>100883135170</v>
      </c>
      <c r="W66" s="285"/>
    </row>
    <row r="67" spans="1:24" s="281" customFormat="1" ht="27" customHeight="1" x14ac:dyDescent="0.3">
      <c r="A67" s="273">
        <v>46</v>
      </c>
      <c r="B67" s="278"/>
      <c r="C67" s="279"/>
      <c r="D67" s="279"/>
      <c r="E67" s="279" t="s">
        <v>229</v>
      </c>
      <c r="F67" s="280"/>
      <c r="G67" s="66">
        <v>0</v>
      </c>
      <c r="H67" s="66"/>
      <c r="I67" s="66"/>
      <c r="J67" s="66"/>
      <c r="K67" s="66"/>
      <c r="L67" s="66">
        <f>G67+I67-K67</f>
        <v>0</v>
      </c>
      <c r="M67" s="66"/>
      <c r="N67" s="66">
        <f>+'ASET TETAP'!T26</f>
        <v>0</v>
      </c>
      <c r="O67" s="66"/>
      <c r="P67" s="66">
        <f>+'ASET TETAP'!AH26</f>
        <v>0</v>
      </c>
      <c r="Q67" s="66">
        <f>L67+N67-P67</f>
        <v>0</v>
      </c>
      <c r="R67" s="66"/>
      <c r="S67" s="66"/>
      <c r="T67" s="66"/>
      <c r="U67" s="66"/>
      <c r="V67" s="66">
        <f>Q67+S67-U67</f>
        <v>0</v>
      </c>
      <c r="W67" s="285"/>
    </row>
    <row r="68" spans="1:24" s="277" customFormat="1" ht="27" customHeight="1" x14ac:dyDescent="0.3">
      <c r="A68" s="273">
        <v>47</v>
      </c>
      <c r="B68" s="274"/>
      <c r="C68" s="275"/>
      <c r="D68" s="275" t="s">
        <v>230</v>
      </c>
      <c r="E68" s="275"/>
      <c r="F68" s="276"/>
      <c r="G68" s="65">
        <f>SUM(G69:G72)</f>
        <v>1669450925</v>
      </c>
      <c r="H68" s="65"/>
      <c r="I68" s="65"/>
      <c r="J68" s="65"/>
      <c r="K68" s="65"/>
      <c r="L68" s="65">
        <f>SUM(L69:L72)</f>
        <v>1669450925</v>
      </c>
      <c r="M68" s="65"/>
      <c r="N68" s="65">
        <f>SUM(N69:N72)</f>
        <v>0</v>
      </c>
      <c r="O68" s="65"/>
      <c r="P68" s="65">
        <f>SUM(P69:P72)</f>
        <v>0</v>
      </c>
      <c r="Q68" s="65">
        <f>SUM(Q69:Q72)</f>
        <v>1669450925</v>
      </c>
      <c r="R68" s="65"/>
      <c r="S68" s="65"/>
      <c r="T68" s="65"/>
      <c r="U68" s="65"/>
      <c r="V68" s="65">
        <f>SUM(V69:V72)</f>
        <v>1669450925</v>
      </c>
      <c r="W68" s="583">
        <f>'ASET TETAP'!AJ28</f>
        <v>1669450925</v>
      </c>
      <c r="X68" s="577">
        <f>+Q68-W68</f>
        <v>0</v>
      </c>
    </row>
    <row r="69" spans="1:24" s="281" customFormat="1" ht="27" customHeight="1" x14ac:dyDescent="0.3">
      <c r="A69" s="273">
        <v>48</v>
      </c>
      <c r="B69" s="278"/>
      <c r="C69" s="279"/>
      <c r="D69" s="279"/>
      <c r="E69" s="279" t="s">
        <v>231</v>
      </c>
      <c r="F69" s="280"/>
      <c r="G69" s="66">
        <v>0</v>
      </c>
      <c r="H69" s="66"/>
      <c r="I69" s="66"/>
      <c r="J69" s="66"/>
      <c r="K69" s="66"/>
      <c r="L69" s="66">
        <f>G69+I69-K69</f>
        <v>0</v>
      </c>
      <c r="M69" s="66"/>
      <c r="N69" s="66">
        <f>+'ASET TETAP'!T29</f>
        <v>0</v>
      </c>
      <c r="O69" s="66"/>
      <c r="P69" s="66">
        <f>+'ASET TETAP'!AH29</f>
        <v>0</v>
      </c>
      <c r="Q69" s="66">
        <f>L69+N69-P69</f>
        <v>0</v>
      </c>
      <c r="R69" s="66"/>
      <c r="S69" s="66"/>
      <c r="T69" s="66"/>
      <c r="U69" s="66"/>
      <c r="V69" s="66">
        <f>Q69+S69-U69</f>
        <v>0</v>
      </c>
      <c r="W69" s="285"/>
    </row>
    <row r="70" spans="1:24" s="281" customFormat="1" ht="27" customHeight="1" x14ac:dyDescent="0.3">
      <c r="A70" s="273">
        <v>49</v>
      </c>
      <c r="B70" s="278"/>
      <c r="C70" s="279"/>
      <c r="D70" s="279"/>
      <c r="E70" s="279" t="s">
        <v>232</v>
      </c>
      <c r="F70" s="280"/>
      <c r="G70" s="66">
        <v>0</v>
      </c>
      <c r="H70" s="66"/>
      <c r="I70" s="66"/>
      <c r="J70" s="66"/>
      <c r="K70" s="66"/>
      <c r="L70" s="66">
        <f>G70+I70-K70</f>
        <v>0</v>
      </c>
      <c r="M70" s="66"/>
      <c r="N70" s="66">
        <f>+'ASET TETAP'!T30</f>
        <v>0</v>
      </c>
      <c r="O70" s="66"/>
      <c r="P70" s="66">
        <f>+'ASET TETAP'!AH30</f>
        <v>0</v>
      </c>
      <c r="Q70" s="66">
        <f>L70+N70-P70</f>
        <v>0</v>
      </c>
      <c r="R70" s="66"/>
      <c r="S70" s="66"/>
      <c r="T70" s="66"/>
      <c r="U70" s="66"/>
      <c r="V70" s="66">
        <f>Q70+S70-U70</f>
        <v>0</v>
      </c>
      <c r="W70" s="285"/>
    </row>
    <row r="71" spans="1:24" s="281" customFormat="1" ht="27" customHeight="1" x14ac:dyDescent="0.3">
      <c r="A71" s="273">
        <v>50</v>
      </c>
      <c r="B71" s="278"/>
      <c r="C71" s="279"/>
      <c r="D71" s="279"/>
      <c r="E71" s="279" t="s">
        <v>233</v>
      </c>
      <c r="F71" s="280"/>
      <c r="G71" s="66">
        <v>1669450925</v>
      </c>
      <c r="H71" s="66"/>
      <c r="I71" s="66"/>
      <c r="J71" s="66"/>
      <c r="K71" s="66"/>
      <c r="L71" s="66">
        <f>G71+I71-K71</f>
        <v>1669450925</v>
      </c>
      <c r="M71" s="66"/>
      <c r="N71" s="66">
        <f>+'ASET TETAP'!T31</f>
        <v>0</v>
      </c>
      <c r="O71" s="66"/>
      <c r="P71" s="66">
        <f>+'ASET TETAP'!AH31</f>
        <v>0</v>
      </c>
      <c r="Q71" s="66">
        <f>L71+N71-P71</f>
        <v>1669450925</v>
      </c>
      <c r="R71" s="66"/>
      <c r="S71" s="66"/>
      <c r="T71" s="66"/>
      <c r="U71" s="66"/>
      <c r="V71" s="66">
        <f>Q71+S71-U71</f>
        <v>1669450925</v>
      </c>
      <c r="W71" s="285"/>
    </row>
    <row r="72" spans="1:24" s="281" customFormat="1" ht="27" customHeight="1" x14ac:dyDescent="0.3">
      <c r="A72" s="273">
        <v>51</v>
      </c>
      <c r="B72" s="278"/>
      <c r="C72" s="279"/>
      <c r="D72" s="279"/>
      <c r="E72" s="279" t="s">
        <v>234</v>
      </c>
      <c r="F72" s="280"/>
      <c r="G72" s="66">
        <v>0</v>
      </c>
      <c r="H72" s="66"/>
      <c r="I72" s="66"/>
      <c r="J72" s="66"/>
      <c r="K72" s="66"/>
      <c r="L72" s="66">
        <f>G72+I72-K72</f>
        <v>0</v>
      </c>
      <c r="M72" s="66"/>
      <c r="N72" s="66">
        <f>+'ASET TETAP'!T32</f>
        <v>0</v>
      </c>
      <c r="O72" s="66"/>
      <c r="P72" s="66">
        <f>+'ASET TETAP'!AH32</f>
        <v>0</v>
      </c>
      <c r="Q72" s="66">
        <f>L72+N72-P72</f>
        <v>0</v>
      </c>
      <c r="R72" s="66"/>
      <c r="S72" s="66"/>
      <c r="T72" s="66"/>
      <c r="U72" s="66"/>
      <c r="V72" s="66">
        <f>Q72+S72-U72</f>
        <v>0</v>
      </c>
      <c r="W72" s="285"/>
    </row>
    <row r="73" spans="1:24" s="277" customFormat="1" ht="27" customHeight="1" x14ac:dyDescent="0.3">
      <c r="A73" s="273">
        <v>52</v>
      </c>
      <c r="B73" s="274"/>
      <c r="C73" s="275"/>
      <c r="D73" s="275" t="s">
        <v>235</v>
      </c>
      <c r="E73" s="275"/>
      <c r="F73" s="276"/>
      <c r="G73" s="65">
        <f>SUM(G74:G76)</f>
        <v>1702270362</v>
      </c>
      <c r="H73" s="65"/>
      <c r="I73" s="65"/>
      <c r="J73" s="65"/>
      <c r="K73" s="65"/>
      <c r="L73" s="65">
        <f>SUM(L74:L76)</f>
        <v>1702270362</v>
      </c>
      <c r="M73" s="65"/>
      <c r="N73" s="65">
        <f>SUM(N74:N76)</f>
        <v>36847600</v>
      </c>
      <c r="O73" s="65"/>
      <c r="P73" s="65">
        <f>SUM(P74:P76)</f>
        <v>0</v>
      </c>
      <c r="Q73" s="65">
        <f>SUM(Q74:Q76)</f>
        <v>1739117962</v>
      </c>
      <c r="R73" s="65"/>
      <c r="S73" s="65"/>
      <c r="T73" s="65"/>
      <c r="U73" s="65"/>
      <c r="V73" s="65">
        <f>SUM(V74:V76)</f>
        <v>1739117962</v>
      </c>
      <c r="W73" s="583">
        <f>'ASET TETAP'!AJ34</f>
        <v>1739117962</v>
      </c>
      <c r="X73" s="577">
        <f>+Q73-W73</f>
        <v>0</v>
      </c>
    </row>
    <row r="74" spans="1:24" s="281" customFormat="1" ht="27" customHeight="1" x14ac:dyDescent="0.3">
      <c r="A74" s="273">
        <v>53</v>
      </c>
      <c r="B74" s="278"/>
      <c r="C74" s="279"/>
      <c r="D74" s="279"/>
      <c r="E74" s="279" t="s">
        <v>236</v>
      </c>
      <c r="F74" s="280"/>
      <c r="G74" s="66">
        <v>1295611020</v>
      </c>
      <c r="H74" s="66"/>
      <c r="I74" s="66"/>
      <c r="J74" s="66"/>
      <c r="K74" s="66"/>
      <c r="L74" s="66">
        <f>G74+I74-K74</f>
        <v>1295611020</v>
      </c>
      <c r="M74" s="66"/>
      <c r="N74" s="66">
        <f>+'ASET TETAP'!T35</f>
        <v>26347600</v>
      </c>
      <c r="O74" s="66"/>
      <c r="P74" s="66">
        <f>+'ASET TETAP'!AH35</f>
        <v>0</v>
      </c>
      <c r="Q74" s="66">
        <f>L74+N74-P74</f>
        <v>1321958620</v>
      </c>
      <c r="R74" s="66"/>
      <c r="S74" s="66"/>
      <c r="T74" s="66"/>
      <c r="U74" s="66"/>
      <c r="V74" s="66">
        <f>Q74+S74-U74</f>
        <v>1321958620</v>
      </c>
      <c r="W74" s="285"/>
    </row>
    <row r="75" spans="1:24" s="281" customFormat="1" ht="27" customHeight="1" x14ac:dyDescent="0.3">
      <c r="A75" s="273">
        <v>54</v>
      </c>
      <c r="B75" s="278"/>
      <c r="C75" s="279"/>
      <c r="D75" s="279"/>
      <c r="E75" s="279" t="s">
        <v>237</v>
      </c>
      <c r="F75" s="280"/>
      <c r="G75" s="66">
        <v>406659342</v>
      </c>
      <c r="H75" s="66"/>
      <c r="I75" s="66"/>
      <c r="J75" s="66"/>
      <c r="K75" s="66"/>
      <c r="L75" s="66">
        <f>G75+I75-K75</f>
        <v>406659342</v>
      </c>
      <c r="M75" s="66"/>
      <c r="N75" s="66">
        <f>+'ASET TETAP'!T36</f>
        <v>10500000</v>
      </c>
      <c r="O75" s="66"/>
      <c r="P75" s="66">
        <f>+'ASET TETAP'!AH36</f>
        <v>0</v>
      </c>
      <c r="Q75" s="66">
        <f>L75+N75-P75</f>
        <v>417159342</v>
      </c>
      <c r="R75" s="66"/>
      <c r="S75" s="66"/>
      <c r="T75" s="66"/>
      <c r="U75" s="66"/>
      <c r="V75" s="66">
        <f>Q75+S75-U75</f>
        <v>417159342</v>
      </c>
      <c r="W75" s="285"/>
    </row>
    <row r="76" spans="1:24" s="281" customFormat="1" ht="27" customHeight="1" x14ac:dyDescent="0.3">
      <c r="A76" s="273">
        <v>55</v>
      </c>
      <c r="B76" s="278"/>
      <c r="C76" s="279"/>
      <c r="D76" s="279"/>
      <c r="E76" s="279" t="s">
        <v>238</v>
      </c>
      <c r="F76" s="280"/>
      <c r="G76" s="66">
        <v>0</v>
      </c>
      <c r="H76" s="66"/>
      <c r="I76" s="66"/>
      <c r="J76" s="66"/>
      <c r="K76" s="66"/>
      <c r="L76" s="66">
        <f>G76+I76-K76</f>
        <v>0</v>
      </c>
      <c r="M76" s="66"/>
      <c r="N76" s="66">
        <f>+'ASET TETAP'!T37</f>
        <v>0</v>
      </c>
      <c r="O76" s="66"/>
      <c r="P76" s="66">
        <f>+'ASET TETAP'!AH37</f>
        <v>0</v>
      </c>
      <c r="Q76" s="66">
        <f>L76+N76-P76</f>
        <v>0</v>
      </c>
      <c r="R76" s="66"/>
      <c r="S76" s="66"/>
      <c r="T76" s="66"/>
      <c r="U76" s="66"/>
      <c r="V76" s="66">
        <f>Q76+S76-U76</f>
        <v>0</v>
      </c>
      <c r="W76" s="285"/>
    </row>
    <row r="77" spans="1:24" s="277" customFormat="1" ht="27" customHeight="1" x14ac:dyDescent="0.3">
      <c r="A77" s="273">
        <v>56</v>
      </c>
      <c r="B77" s="274"/>
      <c r="C77" s="275"/>
      <c r="D77" s="275" t="s">
        <v>239</v>
      </c>
      <c r="E77" s="275"/>
      <c r="F77" s="276"/>
      <c r="G77" s="65">
        <f>SUM(G78)</f>
        <v>0</v>
      </c>
      <c r="H77" s="65"/>
      <c r="I77" s="65"/>
      <c r="J77" s="65"/>
      <c r="K77" s="65"/>
      <c r="L77" s="65">
        <f>SUM(L78)</f>
        <v>0</v>
      </c>
      <c r="M77" s="65"/>
      <c r="N77" s="65">
        <f>SUM(N78)</f>
        <v>0</v>
      </c>
      <c r="O77" s="65"/>
      <c r="P77" s="65">
        <f>SUM(P78)</f>
        <v>0</v>
      </c>
      <c r="Q77" s="65">
        <f>SUM(Q78)</f>
        <v>0</v>
      </c>
      <c r="R77" s="65"/>
      <c r="S77" s="65"/>
      <c r="T77" s="65"/>
      <c r="U77" s="65"/>
      <c r="V77" s="65">
        <f>SUM(V78)</f>
        <v>0</v>
      </c>
      <c r="W77" s="583"/>
    </row>
    <row r="78" spans="1:24" s="281" customFormat="1" ht="27" customHeight="1" x14ac:dyDescent="0.3">
      <c r="A78" s="273">
        <v>57</v>
      </c>
      <c r="B78" s="278"/>
      <c r="C78" s="279"/>
      <c r="D78" s="279"/>
      <c r="E78" s="279" t="s">
        <v>239</v>
      </c>
      <c r="F78" s="280"/>
      <c r="G78" s="66"/>
      <c r="H78" s="66"/>
      <c r="I78" s="66"/>
      <c r="J78" s="66"/>
      <c r="K78" s="66"/>
      <c r="L78" s="66">
        <f>G78+I78-K78</f>
        <v>0</v>
      </c>
      <c r="M78" s="66"/>
      <c r="N78" s="66">
        <f>'ASET TETAP'!T40</f>
        <v>0</v>
      </c>
      <c r="O78" s="66"/>
      <c r="P78" s="66">
        <f>+'ASET TETAP'!AH40</f>
        <v>0</v>
      </c>
      <c r="Q78" s="66">
        <f>L78+N78-P78</f>
        <v>0</v>
      </c>
      <c r="R78" s="66"/>
      <c r="S78" s="66"/>
      <c r="T78" s="66"/>
      <c r="U78" s="66"/>
      <c r="V78" s="66">
        <f>Q78+S78-U78</f>
        <v>0</v>
      </c>
      <c r="W78" s="285"/>
    </row>
    <row r="79" spans="1:24" s="277" customFormat="1" ht="27" customHeight="1" x14ac:dyDescent="0.3">
      <c r="A79" s="273">
        <v>58</v>
      </c>
      <c r="B79" s="274"/>
      <c r="C79" s="275"/>
      <c r="D79" s="275" t="s">
        <v>796</v>
      </c>
      <c r="E79" s="275"/>
      <c r="F79" s="276"/>
      <c r="G79" s="65">
        <f>SUM(G80:G88)</f>
        <v>-114814478340.84999</v>
      </c>
      <c r="H79" s="65">
        <f t="shared" ref="H79:Q79" si="8">SUM(H80:H88)</f>
        <v>0</v>
      </c>
      <c r="I79" s="65">
        <f t="shared" si="8"/>
        <v>0</v>
      </c>
      <c r="J79" s="65">
        <f t="shared" si="8"/>
        <v>0</v>
      </c>
      <c r="K79" s="65">
        <f t="shared" si="8"/>
        <v>0</v>
      </c>
      <c r="L79" s="65">
        <f t="shared" si="8"/>
        <v>-114814478340.84999</v>
      </c>
      <c r="M79" s="65">
        <f t="shared" si="8"/>
        <v>0</v>
      </c>
      <c r="N79" s="65">
        <f t="shared" si="8"/>
        <v>-11576378018.450001</v>
      </c>
      <c r="O79" s="65">
        <f t="shared" si="8"/>
        <v>0</v>
      </c>
      <c r="P79" s="65">
        <f t="shared" si="8"/>
        <v>-16558726045</v>
      </c>
      <c r="Q79" s="65">
        <f t="shared" si="8"/>
        <v>-109832130314.3</v>
      </c>
      <c r="R79" s="65"/>
      <c r="S79" s="65"/>
      <c r="T79" s="65"/>
      <c r="U79" s="65"/>
      <c r="V79" s="65">
        <f>SUM(V80)</f>
        <v>-5167880435.5</v>
      </c>
      <c r="W79" s="583"/>
    </row>
    <row r="80" spans="1:24" s="281" customFormat="1" ht="27" customHeight="1" x14ac:dyDescent="0.3">
      <c r="A80" s="273">
        <v>59</v>
      </c>
      <c r="B80" s="278"/>
      <c r="C80" s="279"/>
      <c r="D80" s="279"/>
      <c r="E80" s="279" t="s">
        <v>797</v>
      </c>
      <c r="F80" s="280"/>
      <c r="G80" s="66">
        <v>-5005324873</v>
      </c>
      <c r="H80" s="66"/>
      <c r="I80" s="66">
        <f>-(+'SUSUT &amp; AMOR'!E9)</f>
        <v>0</v>
      </c>
      <c r="J80" s="66"/>
      <c r="K80" s="66">
        <f>-(+'SUSUT &amp; AMOR'!F9)</f>
        <v>0</v>
      </c>
      <c r="L80" s="66">
        <f>+G80+I80-K80</f>
        <v>-5005324873</v>
      </c>
      <c r="M80" s="66"/>
      <c r="N80" s="66">
        <f>-(+'SUSUT &amp; AMOR'!J9+'SUSUT &amp; AMOR'!H9)</f>
        <v>-459003562.5</v>
      </c>
      <c r="O80" s="66"/>
      <c r="P80" s="66">
        <f>-('SUSUT &amp; AMOR'!I9)</f>
        <v>-296448000</v>
      </c>
      <c r="Q80" s="66">
        <f>+L80+N80-P80</f>
        <v>-5167880435.5</v>
      </c>
      <c r="R80" s="66"/>
      <c r="S80" s="66"/>
      <c r="T80" s="66"/>
      <c r="U80" s="66"/>
      <c r="V80" s="66">
        <f>Q80+S80-U80</f>
        <v>-5167880435.5</v>
      </c>
      <c r="W80" s="285">
        <f>'SUSUT &amp; AMOR'!K9</f>
        <v>5167880435.5</v>
      </c>
      <c r="X80" s="284">
        <f>+Q80+W80</f>
        <v>0</v>
      </c>
    </row>
    <row r="81" spans="1:25" s="281" customFormat="1" ht="27" customHeight="1" x14ac:dyDescent="0.3">
      <c r="A81" s="273">
        <v>60</v>
      </c>
      <c r="B81" s="278"/>
      <c r="C81" s="279"/>
      <c r="D81" s="279"/>
      <c r="E81" s="279" t="s">
        <v>798</v>
      </c>
      <c r="F81" s="280"/>
      <c r="G81" s="66">
        <v>-36871271293.5</v>
      </c>
      <c r="H81" s="66"/>
      <c r="I81" s="66">
        <f>-(+'SUSUT &amp; AMOR'!E10)</f>
        <v>0</v>
      </c>
      <c r="J81" s="66"/>
      <c r="K81" s="66">
        <f>-(+'SUSUT &amp; AMOR'!F10)</f>
        <v>0</v>
      </c>
      <c r="L81" s="66">
        <f t="shared" ref="L81:L96" si="9">+G81+I81-K81</f>
        <v>-36871271293.5</v>
      </c>
      <c r="M81" s="66"/>
      <c r="N81" s="66">
        <f>-(+'SUSUT &amp; AMOR'!J10+'SUSUT &amp; AMOR'!H10)</f>
        <v>-6061702543</v>
      </c>
      <c r="O81" s="66"/>
      <c r="P81" s="66">
        <f>-('SUSUT &amp; AMOR'!I10)</f>
        <v>-5649501846</v>
      </c>
      <c r="Q81" s="66">
        <f t="shared" ref="Q81:Q96" si="10">+L81+N81-P81</f>
        <v>-37283471990.5</v>
      </c>
      <c r="R81" s="66"/>
      <c r="S81" s="66"/>
      <c r="T81" s="66"/>
      <c r="U81" s="66"/>
      <c r="V81" s="66"/>
      <c r="W81" s="285">
        <f>'SUSUT &amp; AMOR'!K10</f>
        <v>37283471990.5</v>
      </c>
      <c r="X81" s="284">
        <f t="shared" ref="X81:X90" si="11">+Q81+W81</f>
        <v>0</v>
      </c>
    </row>
    <row r="82" spans="1:25" s="281" customFormat="1" ht="27" customHeight="1" x14ac:dyDescent="0.3">
      <c r="A82" s="273">
        <v>61</v>
      </c>
      <c r="B82" s="278"/>
      <c r="C82" s="279"/>
      <c r="D82" s="279"/>
      <c r="E82" s="279" t="s">
        <v>799</v>
      </c>
      <c r="F82" s="280"/>
      <c r="G82" s="66">
        <v>-98898000</v>
      </c>
      <c r="H82" s="66"/>
      <c r="I82" s="66">
        <f>-(+'SUSUT &amp; AMOR'!E11)</f>
        <v>0</v>
      </c>
      <c r="J82" s="66"/>
      <c r="K82" s="66">
        <f>-(+'SUSUT &amp; AMOR'!F11)</f>
        <v>0</v>
      </c>
      <c r="L82" s="66">
        <f t="shared" si="9"/>
        <v>-98898000</v>
      </c>
      <c r="M82" s="66"/>
      <c r="N82" s="66">
        <f>-(+'SUSUT &amp; AMOR'!J11+'SUSUT &amp; AMOR'!H11)</f>
        <v>0</v>
      </c>
      <c r="O82" s="66"/>
      <c r="P82" s="66">
        <f>-('SUSUT &amp; AMOR'!I11)</f>
        <v>0</v>
      </c>
      <c r="Q82" s="66">
        <f t="shared" si="10"/>
        <v>-98898000</v>
      </c>
      <c r="R82" s="66"/>
      <c r="S82" s="66"/>
      <c r="T82" s="66"/>
      <c r="U82" s="66"/>
      <c r="V82" s="66"/>
      <c r="W82" s="285">
        <f>'SUSUT &amp; AMOR'!K11</f>
        <v>98898000</v>
      </c>
      <c r="X82" s="284">
        <f t="shared" si="11"/>
        <v>0</v>
      </c>
    </row>
    <row r="83" spans="1:25" s="281" customFormat="1" ht="27" customHeight="1" x14ac:dyDescent="0.3">
      <c r="A83" s="273">
        <v>62</v>
      </c>
      <c r="B83" s="278"/>
      <c r="C83" s="279"/>
      <c r="D83" s="279"/>
      <c r="E83" s="279" t="s">
        <v>800</v>
      </c>
      <c r="F83" s="280"/>
      <c r="G83" s="66">
        <v>0</v>
      </c>
      <c r="H83" s="66"/>
      <c r="I83" s="66">
        <f>-(+'SUSUT &amp; AMOR'!E12)</f>
        <v>0</v>
      </c>
      <c r="J83" s="66"/>
      <c r="K83" s="66">
        <f>-(+'SUSUT &amp; AMOR'!F12)</f>
        <v>0</v>
      </c>
      <c r="L83" s="66">
        <f t="shared" si="9"/>
        <v>0</v>
      </c>
      <c r="M83" s="66"/>
      <c r="N83" s="66">
        <f>-(+'SUSUT &amp; AMOR'!J12+'SUSUT &amp; AMOR'!H12)</f>
        <v>0</v>
      </c>
      <c r="O83" s="66"/>
      <c r="P83" s="66">
        <f>-('SUSUT &amp; AMOR'!I12)</f>
        <v>0</v>
      </c>
      <c r="Q83" s="66">
        <f t="shared" si="10"/>
        <v>0</v>
      </c>
      <c r="R83" s="66"/>
      <c r="S83" s="66"/>
      <c r="T83" s="66"/>
      <c r="U83" s="66"/>
      <c r="V83" s="66"/>
      <c r="W83" s="285">
        <f>'SUSUT &amp; AMOR'!K12</f>
        <v>0</v>
      </c>
      <c r="X83" s="284">
        <f t="shared" si="11"/>
        <v>0</v>
      </c>
    </row>
    <row r="84" spans="1:25" s="281" customFormat="1" ht="27" customHeight="1" x14ac:dyDescent="0.3">
      <c r="A84" s="273">
        <v>63</v>
      </c>
      <c r="B84" s="278"/>
      <c r="C84" s="279"/>
      <c r="D84" s="279"/>
      <c r="E84" s="279" t="s">
        <v>801</v>
      </c>
      <c r="F84" s="280"/>
      <c r="G84" s="66">
        <v>-52696931500.150002</v>
      </c>
      <c r="H84" s="66"/>
      <c r="I84" s="66">
        <f>-(+'SUSUT &amp; AMOR'!E13)</f>
        <v>0</v>
      </c>
      <c r="J84" s="66"/>
      <c r="K84" s="66">
        <f>-(+'SUSUT &amp; AMOR'!F13)</f>
        <v>0</v>
      </c>
      <c r="L84" s="66">
        <f t="shared" si="9"/>
        <v>-52696931500.150002</v>
      </c>
      <c r="M84" s="66"/>
      <c r="N84" s="66">
        <f>-(+'SUSUT &amp; AMOR'!J13+'SUSUT &amp; AMOR'!H13)</f>
        <v>-4295761753.9499998</v>
      </c>
      <c r="O84" s="66"/>
      <c r="P84" s="66">
        <f>-('SUSUT &amp; AMOR'!I13)</f>
        <v>-9517612213.7999992</v>
      </c>
      <c r="Q84" s="66">
        <f t="shared" si="10"/>
        <v>-47475081040.300003</v>
      </c>
      <c r="R84" s="66"/>
      <c r="S84" s="66"/>
      <c r="T84" s="66"/>
      <c r="U84" s="66"/>
      <c r="V84" s="66"/>
      <c r="W84" s="285">
        <f>'SUSUT &amp; AMOR'!K13</f>
        <v>47475081040.300003</v>
      </c>
      <c r="X84" s="284">
        <f t="shared" si="11"/>
        <v>0</v>
      </c>
    </row>
    <row r="85" spans="1:25" s="281" customFormat="1" ht="27" customHeight="1" x14ac:dyDescent="0.3">
      <c r="A85" s="273">
        <v>64</v>
      </c>
      <c r="B85" s="278"/>
      <c r="C85" s="279"/>
      <c r="D85" s="279"/>
      <c r="E85" s="279" t="s">
        <v>802</v>
      </c>
      <c r="F85" s="280"/>
      <c r="G85" s="66">
        <v>-18660200124.200001</v>
      </c>
      <c r="H85" s="66"/>
      <c r="I85" s="66">
        <f>-(+'SUSUT &amp; AMOR'!E14)</f>
        <v>0</v>
      </c>
      <c r="J85" s="66"/>
      <c r="K85" s="66">
        <f>-(+'SUSUT &amp; AMOR'!F14)</f>
        <v>0</v>
      </c>
      <c r="L85" s="66">
        <f t="shared" si="9"/>
        <v>-18660200124.200001</v>
      </c>
      <c r="M85" s="66"/>
      <c r="N85" s="66">
        <f>-(+'SUSUT &amp; AMOR'!J14+'SUSUT &amp; AMOR'!H14)</f>
        <v>-746302159</v>
      </c>
      <c r="O85" s="66"/>
      <c r="P85" s="66">
        <f>-('SUSUT &amp; AMOR'!I14)</f>
        <v>-1095163985.2</v>
      </c>
      <c r="Q85" s="66">
        <f t="shared" si="10"/>
        <v>-18311338298</v>
      </c>
      <c r="R85" s="66"/>
      <c r="S85" s="66"/>
      <c r="T85" s="66"/>
      <c r="U85" s="66"/>
      <c r="V85" s="66"/>
      <c r="W85" s="285">
        <f>'SUSUT &amp; AMOR'!K14</f>
        <v>18311338298</v>
      </c>
      <c r="X85" s="284">
        <f t="shared" si="11"/>
        <v>0</v>
      </c>
    </row>
    <row r="86" spans="1:25" s="281" customFormat="1" ht="27" customHeight="1" x14ac:dyDescent="0.3">
      <c r="A86" s="273">
        <v>65</v>
      </c>
      <c r="B86" s="278"/>
      <c r="C86" s="279"/>
      <c r="D86" s="279"/>
      <c r="E86" s="279" t="s">
        <v>803</v>
      </c>
      <c r="F86" s="280"/>
      <c r="G86" s="66">
        <v>-239621000</v>
      </c>
      <c r="H86" s="66"/>
      <c r="I86" s="66">
        <f>-(+'SUSUT &amp; AMOR'!E15)</f>
        <v>0</v>
      </c>
      <c r="J86" s="66"/>
      <c r="K86" s="66">
        <f>-(+'SUSUT &amp; AMOR'!F15)</f>
        <v>0</v>
      </c>
      <c r="L86" s="66">
        <f t="shared" si="9"/>
        <v>-239621000</v>
      </c>
      <c r="M86" s="66"/>
      <c r="N86" s="66">
        <f>-(+'SUSUT &amp; AMOR'!J15+'SUSUT &amp; AMOR'!H15)</f>
        <v>-7908000</v>
      </c>
      <c r="O86" s="66"/>
      <c r="P86" s="66">
        <f>-('SUSUT &amp; AMOR'!I15)</f>
        <v>0</v>
      </c>
      <c r="Q86" s="66">
        <f t="shared" si="10"/>
        <v>-247529000</v>
      </c>
      <c r="R86" s="66"/>
      <c r="S86" s="66"/>
      <c r="T86" s="66"/>
      <c r="U86" s="66"/>
      <c r="V86" s="66"/>
      <c r="W86" s="285">
        <f>'SUSUT &amp; AMOR'!K15</f>
        <v>247529000</v>
      </c>
      <c r="X86" s="284">
        <f t="shared" si="11"/>
        <v>0</v>
      </c>
    </row>
    <row r="87" spans="1:25" s="281" customFormat="1" ht="27" customHeight="1" x14ac:dyDescent="0.3">
      <c r="A87" s="273">
        <v>66</v>
      </c>
      <c r="B87" s="278"/>
      <c r="C87" s="279"/>
      <c r="D87" s="279"/>
      <c r="E87" s="279" t="s">
        <v>804</v>
      </c>
      <c r="F87" s="280"/>
      <c r="G87" s="66">
        <v>0</v>
      </c>
      <c r="H87" s="66"/>
      <c r="I87" s="66">
        <f>-(+'SUSUT &amp; AMOR'!E16)</f>
        <v>0</v>
      </c>
      <c r="J87" s="66"/>
      <c r="K87" s="66">
        <f>-(+'SUSUT &amp; AMOR'!F16)</f>
        <v>0</v>
      </c>
      <c r="L87" s="66">
        <f t="shared" si="9"/>
        <v>0</v>
      </c>
      <c r="M87" s="66"/>
      <c r="N87" s="66">
        <f>-(+'SUSUT &amp; AMOR'!J16+'SUSUT &amp; AMOR'!H16)</f>
        <v>0</v>
      </c>
      <c r="O87" s="66"/>
      <c r="P87" s="66">
        <f>-('SUSUT &amp; AMOR'!I16)</f>
        <v>0</v>
      </c>
      <c r="Q87" s="66">
        <f t="shared" si="10"/>
        <v>0</v>
      </c>
      <c r="R87" s="66"/>
      <c r="S87" s="66"/>
      <c r="T87" s="66"/>
      <c r="U87" s="66"/>
      <c r="V87" s="66"/>
      <c r="W87" s="285">
        <f>'SUSUT &amp; AMOR'!K16</f>
        <v>0</v>
      </c>
      <c r="X87" s="284">
        <f t="shared" si="11"/>
        <v>0</v>
      </c>
    </row>
    <row r="88" spans="1:25" s="281" customFormat="1" ht="27" customHeight="1" x14ac:dyDescent="0.3">
      <c r="A88" s="273">
        <v>67</v>
      </c>
      <c r="B88" s="278"/>
      <c r="C88" s="279"/>
      <c r="D88" s="279"/>
      <c r="E88" s="279" t="s">
        <v>805</v>
      </c>
      <c r="F88" s="280"/>
      <c r="G88" s="66">
        <v>-1242231550</v>
      </c>
      <c r="H88" s="66"/>
      <c r="I88" s="66">
        <f>-(+'SUSUT &amp; AMOR'!E17)</f>
        <v>0</v>
      </c>
      <c r="J88" s="66"/>
      <c r="K88" s="66">
        <f>-(+'SUSUT &amp; AMOR'!F17)</f>
        <v>0</v>
      </c>
      <c r="L88" s="66">
        <f t="shared" si="9"/>
        <v>-1242231550</v>
      </c>
      <c r="M88" s="66"/>
      <c r="N88" s="66">
        <f>-(+'SUSUT &amp; AMOR'!J17+'SUSUT &amp; AMOR'!H17)</f>
        <v>-5700000</v>
      </c>
      <c r="O88" s="66"/>
      <c r="P88" s="66">
        <f>-('SUSUT &amp; AMOR'!I17)</f>
        <v>0</v>
      </c>
      <c r="Q88" s="66">
        <f t="shared" si="10"/>
        <v>-1247931550</v>
      </c>
      <c r="R88" s="66"/>
      <c r="S88" s="66"/>
      <c r="T88" s="66"/>
      <c r="U88" s="66"/>
      <c r="V88" s="66"/>
      <c r="W88" s="285">
        <f>'SUSUT &amp; AMOR'!K17</f>
        <v>1247931550</v>
      </c>
      <c r="X88" s="284">
        <f t="shared" si="11"/>
        <v>0</v>
      </c>
    </row>
    <row r="89" spans="1:25" s="277" customFormat="1" ht="27" customHeight="1" x14ac:dyDescent="0.3">
      <c r="A89" s="273">
        <v>68</v>
      </c>
      <c r="B89" s="274"/>
      <c r="C89" s="275"/>
      <c r="D89" s="275" t="s">
        <v>806</v>
      </c>
      <c r="E89" s="275"/>
      <c r="F89" s="276"/>
      <c r="G89" s="65">
        <f>SUM(G90:G91)</f>
        <v>-45869081439.410004</v>
      </c>
      <c r="H89" s="65">
        <f t="shared" ref="H89:Q89" si="12">SUM(H90:H91)</f>
        <v>0</v>
      </c>
      <c r="I89" s="65">
        <f t="shared" si="12"/>
        <v>-2242.7999954223601</v>
      </c>
      <c r="J89" s="65">
        <f t="shared" si="12"/>
        <v>0</v>
      </c>
      <c r="K89" s="65">
        <f t="shared" si="12"/>
        <v>0</v>
      </c>
      <c r="L89" s="65">
        <f t="shared" si="12"/>
        <v>-45869083682.209999</v>
      </c>
      <c r="M89" s="65">
        <f t="shared" si="12"/>
        <v>0</v>
      </c>
      <c r="N89" s="65">
        <f t="shared" si="12"/>
        <v>-2021658907.73</v>
      </c>
      <c r="O89" s="65">
        <f t="shared" si="12"/>
        <v>0</v>
      </c>
      <c r="P89" s="65">
        <f t="shared" si="12"/>
        <v>-563190999.24000001</v>
      </c>
      <c r="Q89" s="65">
        <f t="shared" si="12"/>
        <v>-47327551590.700005</v>
      </c>
      <c r="R89" s="65"/>
      <c r="S89" s="65"/>
      <c r="T89" s="65"/>
      <c r="U89" s="65"/>
      <c r="V89" s="65"/>
      <c r="W89" s="583"/>
    </row>
    <row r="90" spans="1:25" s="281" customFormat="1" ht="27" customHeight="1" x14ac:dyDescent="0.3">
      <c r="A90" s="273">
        <v>69</v>
      </c>
      <c r="B90" s="278"/>
      <c r="C90" s="279"/>
      <c r="D90" s="279"/>
      <c r="E90" s="279" t="s">
        <v>807</v>
      </c>
      <c r="F90" s="280"/>
      <c r="G90" s="66">
        <v>-45869081439.410004</v>
      </c>
      <c r="H90" s="66"/>
      <c r="I90" s="66">
        <f>-(+'SUSUT &amp; AMOR'!E18)</f>
        <v>-2242.7999954223601</v>
      </c>
      <c r="J90" s="66"/>
      <c r="K90" s="66">
        <f>-(+'SUSUT &amp; AMOR'!F18)</f>
        <v>0</v>
      </c>
      <c r="L90" s="66">
        <f t="shared" si="9"/>
        <v>-45869083682.209999</v>
      </c>
      <c r="M90" s="66"/>
      <c r="N90" s="66">
        <f>-(+'SUSUT &amp; AMOR'!J18+'SUSUT &amp; AMOR'!H18)</f>
        <v>-2021658907.73</v>
      </c>
      <c r="O90" s="66"/>
      <c r="P90" s="66">
        <f>-('SUSUT &amp; AMOR'!I18)</f>
        <v>-563190999.24000001</v>
      </c>
      <c r="Q90" s="66">
        <f t="shared" si="10"/>
        <v>-47327551590.700005</v>
      </c>
      <c r="R90" s="66"/>
      <c r="S90" s="66"/>
      <c r="T90" s="66"/>
      <c r="U90" s="66"/>
      <c r="V90" s="66"/>
      <c r="W90" s="285">
        <f>'SUSUT &amp; AMOR'!K18</f>
        <v>47327551590.700005</v>
      </c>
      <c r="X90" s="284">
        <f t="shared" si="11"/>
        <v>0</v>
      </c>
    </row>
    <row r="91" spans="1:25" s="281" customFormat="1" ht="27" customHeight="1" x14ac:dyDescent="0.3">
      <c r="A91" s="273">
        <v>70</v>
      </c>
      <c r="B91" s="278"/>
      <c r="C91" s="279"/>
      <c r="D91" s="279"/>
      <c r="E91" s="279" t="s">
        <v>808</v>
      </c>
      <c r="F91" s="280"/>
      <c r="G91" s="66"/>
      <c r="H91" s="66"/>
      <c r="I91" s="66">
        <f>-(+'SUSUT &amp; AMOR'!E19)</f>
        <v>0</v>
      </c>
      <c r="J91" s="66"/>
      <c r="K91" s="66">
        <f>-(+'SUSUT &amp; AMOR'!F19)</f>
        <v>0</v>
      </c>
      <c r="L91" s="66">
        <f t="shared" si="9"/>
        <v>0</v>
      </c>
      <c r="M91" s="66"/>
      <c r="N91" s="66">
        <f>-(+'SUSUT &amp; AMOR'!J19+'SUSUT &amp; AMOR'!H19)</f>
        <v>0</v>
      </c>
      <c r="O91" s="66"/>
      <c r="P91" s="66">
        <f>-('SUSUT &amp; AMOR'!I19)</f>
        <v>0</v>
      </c>
      <c r="Q91" s="66">
        <f t="shared" si="10"/>
        <v>0</v>
      </c>
      <c r="R91" s="66"/>
      <c r="S91" s="66"/>
      <c r="T91" s="66"/>
      <c r="U91" s="66"/>
      <c r="V91" s="66"/>
      <c r="W91" s="285"/>
    </row>
    <row r="92" spans="1:25" s="277" customFormat="1" ht="27" customHeight="1" x14ac:dyDescent="0.3">
      <c r="A92" s="273">
        <v>71</v>
      </c>
      <c r="B92" s="274"/>
      <c r="C92" s="275"/>
      <c r="D92" s="275" t="s">
        <v>809</v>
      </c>
      <c r="E92" s="275"/>
      <c r="F92" s="276"/>
      <c r="G92" s="65">
        <f>SUM(G93:G96)</f>
        <v>-413311931.25</v>
      </c>
      <c r="H92" s="65">
        <f t="shared" ref="H92:Q92" si="13">SUM(H93:H96)</f>
        <v>0</v>
      </c>
      <c r="I92" s="65">
        <f t="shared" si="13"/>
        <v>0</v>
      </c>
      <c r="J92" s="65">
        <f t="shared" si="13"/>
        <v>0</v>
      </c>
      <c r="K92" s="65">
        <f t="shared" si="13"/>
        <v>0</v>
      </c>
      <c r="L92" s="65">
        <f t="shared" si="13"/>
        <v>-413311931.25</v>
      </c>
      <c r="M92" s="65">
        <f t="shared" si="13"/>
        <v>0</v>
      </c>
      <c r="N92" s="65">
        <f t="shared" si="13"/>
        <v>-41698773.140000001</v>
      </c>
      <c r="O92" s="65">
        <f t="shared" si="13"/>
        <v>0</v>
      </c>
      <c r="P92" s="65">
        <f t="shared" si="13"/>
        <v>0</v>
      </c>
      <c r="Q92" s="65">
        <f t="shared" si="13"/>
        <v>-455010704.38999999</v>
      </c>
      <c r="R92" s="65"/>
      <c r="S92" s="65"/>
      <c r="T92" s="65"/>
      <c r="U92" s="65"/>
      <c r="V92" s="65"/>
      <c r="W92" s="583"/>
    </row>
    <row r="93" spans="1:25" s="281" customFormat="1" ht="27" customHeight="1" x14ac:dyDescent="0.3">
      <c r="A93" s="273">
        <v>72</v>
      </c>
      <c r="B93" s="278"/>
      <c r="C93" s="279"/>
      <c r="D93" s="279"/>
      <c r="E93" s="279" t="s">
        <v>810</v>
      </c>
      <c r="F93" s="280"/>
      <c r="G93" s="66"/>
      <c r="H93" s="66"/>
      <c r="I93" s="66">
        <f>-(+'SUSUT &amp; AMOR'!E20)</f>
        <v>0</v>
      </c>
      <c r="J93" s="66"/>
      <c r="K93" s="66">
        <f>-(+'SUSUT &amp; AMOR'!F20)</f>
        <v>0</v>
      </c>
      <c r="L93" s="66">
        <f t="shared" si="9"/>
        <v>0</v>
      </c>
      <c r="M93" s="66"/>
      <c r="N93" s="66">
        <f>-(+'SUSUT &amp; AMOR'!J20+'SUSUT &amp; AMOR'!H20)</f>
        <v>0</v>
      </c>
      <c r="O93" s="66"/>
      <c r="P93" s="66">
        <f>-('SUSUT &amp; AMOR'!I20)</f>
        <v>0</v>
      </c>
      <c r="Q93" s="66">
        <f t="shared" si="10"/>
        <v>0</v>
      </c>
      <c r="R93" s="66"/>
      <c r="S93" s="66"/>
      <c r="T93" s="66"/>
      <c r="U93" s="66"/>
      <c r="V93" s="66"/>
      <c r="W93" s="285"/>
    </row>
    <row r="94" spans="1:25" s="281" customFormat="1" ht="27" customHeight="1" x14ac:dyDescent="0.3">
      <c r="A94" s="273">
        <v>73</v>
      </c>
      <c r="B94" s="278"/>
      <c r="C94" s="279"/>
      <c r="D94" s="279"/>
      <c r="E94" s="279" t="s">
        <v>811</v>
      </c>
      <c r="F94" s="280"/>
      <c r="G94" s="66"/>
      <c r="H94" s="66"/>
      <c r="I94" s="66">
        <f>-(+'SUSUT &amp; AMOR'!E21)</f>
        <v>0</v>
      </c>
      <c r="J94" s="66"/>
      <c r="K94" s="66">
        <f>-(+'SUSUT &amp; AMOR'!F21)</f>
        <v>0</v>
      </c>
      <c r="L94" s="66">
        <f t="shared" si="9"/>
        <v>0</v>
      </c>
      <c r="M94" s="66"/>
      <c r="N94" s="66">
        <f>-(+'SUSUT &amp; AMOR'!J21+'SUSUT &amp; AMOR'!H21)</f>
        <v>0</v>
      </c>
      <c r="O94" s="66"/>
      <c r="P94" s="66">
        <f>-('SUSUT &amp; AMOR'!I21)</f>
        <v>0</v>
      </c>
      <c r="Q94" s="66">
        <f t="shared" si="10"/>
        <v>0</v>
      </c>
      <c r="R94" s="66"/>
      <c r="S94" s="66"/>
      <c r="T94" s="66"/>
      <c r="U94" s="66"/>
      <c r="V94" s="66"/>
      <c r="W94" s="285"/>
    </row>
    <row r="95" spans="1:25" s="281" customFormat="1" ht="27" customHeight="1" x14ac:dyDescent="0.3">
      <c r="A95" s="273">
        <v>74</v>
      </c>
      <c r="B95" s="278"/>
      <c r="C95" s="279"/>
      <c r="D95" s="279"/>
      <c r="E95" s="279" t="s">
        <v>812</v>
      </c>
      <c r="F95" s="280"/>
      <c r="G95" s="66">
        <v>-413311931.25</v>
      </c>
      <c r="H95" s="66"/>
      <c r="I95" s="66">
        <f>-(+'SUSUT &amp; AMOR'!E22)</f>
        <v>0</v>
      </c>
      <c r="J95" s="66"/>
      <c r="K95" s="66">
        <f>-(+'SUSUT &amp; AMOR'!F22)</f>
        <v>0</v>
      </c>
      <c r="L95" s="66">
        <f t="shared" si="9"/>
        <v>-413311931.25</v>
      </c>
      <c r="M95" s="66"/>
      <c r="N95" s="66">
        <f>-(+'SUSUT &amp; AMOR'!J22+'SUSUT &amp; AMOR'!H22)</f>
        <v>-41698773.140000001</v>
      </c>
      <c r="O95" s="66"/>
      <c r="P95" s="66">
        <f>-('SUSUT &amp; AMOR'!I22)</f>
        <v>0</v>
      </c>
      <c r="Q95" s="66">
        <f t="shared" si="10"/>
        <v>-455010704.38999999</v>
      </c>
      <c r="R95" s="66"/>
      <c r="S95" s="66"/>
      <c r="T95" s="66"/>
      <c r="U95" s="66"/>
      <c r="V95" s="66"/>
      <c r="W95" s="285">
        <f>'SUSUT &amp; AMOR'!K22</f>
        <v>455010704.38999999</v>
      </c>
      <c r="X95" s="284">
        <f t="shared" ref="X95" si="14">+Q95+W95</f>
        <v>0</v>
      </c>
    </row>
    <row r="96" spans="1:25" s="281" customFormat="1" ht="27" customHeight="1" x14ac:dyDescent="0.3">
      <c r="A96" s="273">
        <v>75</v>
      </c>
      <c r="B96" s="278"/>
      <c r="C96" s="279"/>
      <c r="D96" s="279"/>
      <c r="E96" s="279" t="s">
        <v>813</v>
      </c>
      <c r="F96" s="280"/>
      <c r="G96" s="66">
        <v>0</v>
      </c>
      <c r="H96" s="66"/>
      <c r="I96" s="66">
        <f>-(+'SUSUT &amp; AMOR'!E23)</f>
        <v>0</v>
      </c>
      <c r="J96" s="66"/>
      <c r="K96" s="66">
        <f>-(+'SUSUT &amp; AMOR'!F23)</f>
        <v>0</v>
      </c>
      <c r="L96" s="66">
        <f t="shared" si="9"/>
        <v>0</v>
      </c>
      <c r="M96" s="66"/>
      <c r="N96" s="66">
        <f>-(+'SUSUT &amp; AMOR'!J23+'SUSUT &amp; AMOR'!H23)</f>
        <v>0</v>
      </c>
      <c r="O96" s="66"/>
      <c r="P96" s="66">
        <f>-('SUSUT &amp; AMOR'!I23)</f>
        <v>0</v>
      </c>
      <c r="Q96" s="66">
        <f t="shared" si="10"/>
        <v>0</v>
      </c>
      <c r="R96" s="66"/>
      <c r="S96" s="66"/>
      <c r="T96" s="66"/>
      <c r="U96" s="66"/>
      <c r="V96" s="66"/>
      <c r="W96" s="285">
        <f>SUM(W80:W95)</f>
        <v>157614692609.39001</v>
      </c>
      <c r="X96" s="281">
        <f>'SUSUT &amp; AMOR'!K24</f>
        <v>157614692609.39001</v>
      </c>
      <c r="Y96" s="284">
        <f>+W96-X96</f>
        <v>0</v>
      </c>
    </row>
    <row r="97" spans="1:26" s="277" customFormat="1" ht="27" customHeight="1" x14ac:dyDescent="0.3">
      <c r="A97" s="273">
        <v>76</v>
      </c>
      <c r="B97" s="274"/>
      <c r="C97" s="275"/>
      <c r="D97" s="275"/>
      <c r="E97" s="799" t="s">
        <v>814</v>
      </c>
      <c r="F97" s="800"/>
      <c r="G97" s="65">
        <f>+G77+G73+G68+G65+G55+G53+G79+G89+G92</f>
        <v>259216862523.49161</v>
      </c>
      <c r="H97" s="65">
        <f t="shared" ref="H97:V97" si="15">+H77+H73+H68+H65+H55+H53+H79+H89+H92</f>
        <v>0</v>
      </c>
      <c r="I97" s="65">
        <f t="shared" si="15"/>
        <v>-2242.7999954223601</v>
      </c>
      <c r="J97" s="65">
        <f t="shared" si="15"/>
        <v>0</v>
      </c>
      <c r="K97" s="65">
        <f t="shared" si="15"/>
        <v>0</v>
      </c>
      <c r="L97" s="65">
        <f t="shared" si="15"/>
        <v>259216860280.69162</v>
      </c>
      <c r="M97" s="65">
        <f t="shared" si="15"/>
        <v>0</v>
      </c>
      <c r="N97" s="65">
        <f t="shared" si="15"/>
        <v>-1775242884.3200009</v>
      </c>
      <c r="O97" s="65">
        <f t="shared" si="15"/>
        <v>0</v>
      </c>
      <c r="P97" s="65">
        <f t="shared" si="15"/>
        <v>11222390661.76</v>
      </c>
      <c r="Q97" s="65">
        <f t="shared" si="15"/>
        <v>246219226734.61157</v>
      </c>
      <c r="R97" s="65">
        <f t="shared" si="15"/>
        <v>0</v>
      </c>
      <c r="S97" s="65">
        <f t="shared" si="15"/>
        <v>0</v>
      </c>
      <c r="T97" s="65">
        <f t="shared" si="15"/>
        <v>0</v>
      </c>
      <c r="U97" s="65">
        <f t="shared" si="15"/>
        <v>0</v>
      </c>
      <c r="V97" s="65">
        <f t="shared" si="15"/>
        <v>398666038908.50159</v>
      </c>
      <c r="W97" s="583">
        <f>+W55+W65+W68+W73-W96</f>
        <v>78614586734.611603</v>
      </c>
      <c r="X97" s="583">
        <f>'SUSUT &amp; AMOR'!L24</f>
        <v>76875468772.611618</v>
      </c>
      <c r="Y97" s="577"/>
      <c r="Z97" s="585"/>
    </row>
    <row r="98" spans="1:26" s="281" customFormat="1" ht="27" customHeight="1" x14ac:dyDescent="0.3">
      <c r="A98" s="273"/>
      <c r="B98" s="278"/>
      <c r="C98" s="279"/>
      <c r="D98" s="279"/>
      <c r="E98" s="279"/>
      <c r="F98" s="280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285"/>
    </row>
    <row r="99" spans="1:26" s="277" customFormat="1" ht="27" customHeight="1" x14ac:dyDescent="0.3">
      <c r="A99" s="273">
        <v>77</v>
      </c>
      <c r="B99" s="274"/>
      <c r="C99" s="275" t="s">
        <v>241</v>
      </c>
      <c r="D99" s="275"/>
      <c r="E99" s="275"/>
      <c r="F99" s="27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583"/>
    </row>
    <row r="100" spans="1:26" s="281" customFormat="1" ht="27" customHeight="1" x14ac:dyDescent="0.3">
      <c r="A100" s="273">
        <v>78</v>
      </c>
      <c r="B100" s="278"/>
      <c r="C100" s="279"/>
      <c r="D100" s="279" t="s">
        <v>242</v>
      </c>
      <c r="E100" s="279"/>
      <c r="F100" s="280"/>
      <c r="G100" s="66">
        <v>0</v>
      </c>
      <c r="H100" s="66"/>
      <c r="I100" s="66"/>
      <c r="J100" s="66"/>
      <c r="K100" s="66"/>
      <c r="L100" s="66">
        <f>G100+I100-K100</f>
        <v>0</v>
      </c>
      <c r="M100" s="66"/>
      <c r="N100" s="66"/>
      <c r="O100" s="66"/>
      <c r="P100" s="66"/>
      <c r="Q100" s="66">
        <f>L100+N100-P100</f>
        <v>0</v>
      </c>
      <c r="R100" s="66"/>
      <c r="S100" s="66"/>
      <c r="T100" s="66"/>
      <c r="U100" s="66"/>
      <c r="V100" s="66">
        <f>Q100+S100-U100</f>
        <v>0</v>
      </c>
      <c r="W100" s="285"/>
    </row>
    <row r="101" spans="1:26" s="277" customFormat="1" ht="27" customHeight="1" x14ac:dyDescent="0.3">
      <c r="A101" s="273">
        <v>79</v>
      </c>
      <c r="B101" s="274"/>
      <c r="C101" s="275"/>
      <c r="D101" s="275"/>
      <c r="E101" s="799" t="s">
        <v>485</v>
      </c>
      <c r="F101" s="800"/>
      <c r="G101" s="65">
        <f>SUM(G100)</f>
        <v>0</v>
      </c>
      <c r="H101" s="65"/>
      <c r="I101" s="65"/>
      <c r="J101" s="65"/>
      <c r="K101" s="65"/>
      <c r="L101" s="65">
        <f>SUM(L100)</f>
        <v>0</v>
      </c>
      <c r="M101" s="65"/>
      <c r="N101" s="65">
        <f>SUM(N100)</f>
        <v>0</v>
      </c>
      <c r="O101" s="65"/>
      <c r="P101" s="65">
        <f>SUM(P100)</f>
        <v>0</v>
      </c>
      <c r="Q101" s="65">
        <f>SUM(Q100)</f>
        <v>0</v>
      </c>
      <c r="R101" s="65"/>
      <c r="S101" s="65"/>
      <c r="T101" s="65"/>
      <c r="U101" s="65"/>
      <c r="V101" s="65">
        <f>SUM(V100)</f>
        <v>0</v>
      </c>
      <c r="W101" s="583"/>
    </row>
    <row r="102" spans="1:26" s="281" customFormat="1" ht="27" customHeight="1" x14ac:dyDescent="0.3">
      <c r="A102" s="273"/>
      <c r="B102" s="278"/>
      <c r="C102" s="279"/>
      <c r="D102" s="279"/>
      <c r="E102" s="279"/>
      <c r="F102" s="280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285"/>
    </row>
    <row r="103" spans="1:26" s="277" customFormat="1" ht="27" customHeight="1" x14ac:dyDescent="0.3">
      <c r="A103" s="273">
        <v>80</v>
      </c>
      <c r="B103" s="274"/>
      <c r="C103" s="275" t="s">
        <v>243</v>
      </c>
      <c r="D103" s="275"/>
      <c r="E103" s="275"/>
      <c r="F103" s="276"/>
      <c r="G103" s="65">
        <f>SUM(G106:G110)</f>
        <v>112608200</v>
      </c>
      <c r="H103" s="65"/>
      <c r="I103" s="65">
        <f>SUM(I106:I110)</f>
        <v>0</v>
      </c>
      <c r="J103" s="65"/>
      <c r="K103" s="65">
        <f>SUM(K106:K110)</f>
        <v>0</v>
      </c>
      <c r="L103" s="65">
        <f>SUM(L106:L110)</f>
        <v>112608200</v>
      </c>
      <c r="M103" s="65"/>
      <c r="N103" s="65">
        <f>SUM(N106:N110)</f>
        <v>0</v>
      </c>
      <c r="O103" s="65"/>
      <c r="P103" s="65">
        <f>SUM(P106:P110)</f>
        <v>112608200</v>
      </c>
      <c r="Q103" s="65">
        <f>SUM(Q106:Q110)</f>
        <v>0</v>
      </c>
      <c r="R103" s="65"/>
      <c r="S103" s="65"/>
      <c r="T103" s="65"/>
      <c r="U103" s="65"/>
      <c r="V103" s="65"/>
      <c r="W103" s="583"/>
    </row>
    <row r="104" spans="1:26" s="281" customFormat="1" ht="27" customHeight="1" x14ac:dyDescent="0.3">
      <c r="A104" s="273">
        <v>81</v>
      </c>
      <c r="B104" s="278"/>
      <c r="C104" s="279"/>
      <c r="D104" s="279" t="s">
        <v>281</v>
      </c>
      <c r="E104" s="279"/>
      <c r="F104" s="280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>
        <f t="shared" ref="Q104:Q111" si="16">L104+N104-P104</f>
        <v>0</v>
      </c>
      <c r="R104" s="66"/>
      <c r="S104" s="66"/>
      <c r="T104" s="66"/>
      <c r="U104" s="66"/>
      <c r="V104" s="66"/>
      <c r="W104" s="285"/>
    </row>
    <row r="105" spans="1:26" s="281" customFormat="1" ht="27" customHeight="1" x14ac:dyDescent="0.3">
      <c r="A105" s="273">
        <v>82</v>
      </c>
      <c r="B105" s="278"/>
      <c r="C105" s="279"/>
      <c r="D105" s="279" t="s">
        <v>282</v>
      </c>
      <c r="E105" s="279"/>
      <c r="F105" s="280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>
        <f t="shared" si="16"/>
        <v>0</v>
      </c>
      <c r="R105" s="66"/>
      <c r="S105" s="66"/>
      <c r="T105" s="66"/>
      <c r="U105" s="66"/>
      <c r="V105" s="66"/>
      <c r="W105" s="285"/>
    </row>
    <row r="106" spans="1:26" s="281" customFormat="1" ht="27" customHeight="1" x14ac:dyDescent="0.3">
      <c r="A106" s="273">
        <v>83</v>
      </c>
      <c r="B106" s="278"/>
      <c r="C106" s="279"/>
      <c r="D106" s="279" t="s">
        <v>244</v>
      </c>
      <c r="E106" s="279"/>
      <c r="F106" s="280"/>
      <c r="G106" s="66"/>
      <c r="H106" s="66"/>
      <c r="I106" s="66"/>
      <c r="J106" s="66"/>
      <c r="K106" s="66"/>
      <c r="L106" s="66">
        <f>G106+I106-K106</f>
        <v>0</v>
      </c>
      <c r="M106" s="66"/>
      <c r="N106" s="66"/>
      <c r="O106" s="66"/>
      <c r="P106" s="66"/>
      <c r="Q106" s="66">
        <f t="shared" si="16"/>
        <v>0</v>
      </c>
      <c r="R106" s="66"/>
      <c r="S106" s="66"/>
      <c r="T106" s="66"/>
      <c r="U106" s="66"/>
      <c r="V106" s="66"/>
      <c r="W106" s="285"/>
    </row>
    <row r="107" spans="1:26" s="281" customFormat="1" ht="27" customHeight="1" x14ac:dyDescent="0.3">
      <c r="A107" s="273">
        <v>84</v>
      </c>
      <c r="B107" s="278"/>
      <c r="C107" s="279"/>
      <c r="D107" s="279" t="s">
        <v>283</v>
      </c>
      <c r="E107" s="279"/>
      <c r="F107" s="280"/>
      <c r="G107" s="201"/>
      <c r="H107" s="66"/>
      <c r="I107" s="66"/>
      <c r="J107" s="66"/>
      <c r="K107" s="66"/>
      <c r="L107" s="66">
        <f>G107+I107-K107</f>
        <v>0</v>
      </c>
      <c r="M107" s="66"/>
      <c r="N107" s="202">
        <f>+'ASET TETAP'!T56</f>
        <v>0</v>
      </c>
      <c r="O107" s="66"/>
      <c r="P107" s="66">
        <f>+'ASET TETAP'!AH56</f>
        <v>0</v>
      </c>
      <c r="Q107" s="66">
        <f t="shared" si="16"/>
        <v>0</v>
      </c>
      <c r="R107" s="66"/>
      <c r="S107" s="66"/>
      <c r="T107" s="66"/>
      <c r="U107" s="66"/>
      <c r="V107" s="66"/>
      <c r="W107" s="285"/>
    </row>
    <row r="108" spans="1:26" s="281" customFormat="1" ht="27" customHeight="1" x14ac:dyDescent="0.3">
      <c r="A108" s="273">
        <v>85</v>
      </c>
      <c r="B108" s="278"/>
      <c r="C108" s="279"/>
      <c r="D108" s="279"/>
      <c r="E108" s="279" t="s">
        <v>815</v>
      </c>
      <c r="F108" s="280"/>
      <c r="G108" s="201"/>
      <c r="H108" s="66"/>
      <c r="I108" s="66">
        <f>+'SUSUT &amp; AMOR'!E35</f>
        <v>0</v>
      </c>
      <c r="J108" s="66"/>
      <c r="K108" s="66">
        <f>+'SUSUT &amp; AMOR'!F35</f>
        <v>0</v>
      </c>
      <c r="L108" s="66">
        <f>G108+I108-K108</f>
        <v>0</v>
      </c>
      <c r="M108" s="66"/>
      <c r="N108" s="202">
        <f>+'SUSUT &amp; AMOR'!H35+'SUSUT &amp; AMOR'!J35</f>
        <v>0</v>
      </c>
      <c r="O108" s="66"/>
      <c r="P108" s="66">
        <f>+'SUSUT &amp; AMOR'!I35</f>
        <v>0</v>
      </c>
      <c r="Q108" s="66">
        <f t="shared" si="16"/>
        <v>0</v>
      </c>
      <c r="R108" s="66"/>
      <c r="S108" s="66"/>
      <c r="T108" s="66"/>
      <c r="U108" s="66"/>
      <c r="V108" s="66"/>
      <c r="W108" s="285"/>
    </row>
    <row r="109" spans="1:26" s="281" customFormat="1" ht="27" customHeight="1" x14ac:dyDescent="0.3">
      <c r="A109" s="273">
        <v>86</v>
      </c>
      <c r="B109" s="278"/>
      <c r="C109" s="279"/>
      <c r="D109" s="279" t="s">
        <v>816</v>
      </c>
      <c r="E109" s="279"/>
      <c r="F109" s="280"/>
      <c r="G109" s="66">
        <v>11016333146</v>
      </c>
      <c r="H109" s="66"/>
      <c r="I109" s="66"/>
      <c r="J109" s="66"/>
      <c r="K109" s="66"/>
      <c r="L109" s="66">
        <f>G109+I109-K109</f>
        <v>11016333146</v>
      </c>
      <c r="M109" s="66"/>
      <c r="N109" s="66">
        <f>+'ASET LAINNYA'!J44</f>
        <v>0</v>
      </c>
      <c r="O109" s="66"/>
      <c r="P109" s="66">
        <f>+'ASET LAINNYA'!AD44</f>
        <v>7936839790</v>
      </c>
      <c r="Q109" s="66">
        <f t="shared" si="16"/>
        <v>3079493356</v>
      </c>
      <c r="R109" s="66"/>
      <c r="S109" s="66"/>
      <c r="T109" s="66"/>
      <c r="U109" s="66"/>
      <c r="V109" s="66"/>
      <c r="W109" s="285"/>
    </row>
    <row r="110" spans="1:26" s="281" customFormat="1" ht="27" customHeight="1" x14ac:dyDescent="0.3">
      <c r="A110" s="273">
        <v>87</v>
      </c>
      <c r="B110" s="278"/>
      <c r="C110" s="279"/>
      <c r="D110" s="279"/>
      <c r="E110" s="279" t="s">
        <v>817</v>
      </c>
      <c r="F110" s="280"/>
      <c r="G110" s="66">
        <v>-10903724946</v>
      </c>
      <c r="H110" s="66"/>
      <c r="I110" s="66">
        <f>+'SUSUT &amp; AMOR'!E60</f>
        <v>0</v>
      </c>
      <c r="J110" s="66"/>
      <c r="K110" s="66">
        <f>-+'SUSUT &amp; AMOR'!F60</f>
        <v>0</v>
      </c>
      <c r="L110" s="66">
        <f>+G110+I110-K110</f>
        <v>-10903724946</v>
      </c>
      <c r="M110" s="66"/>
      <c r="N110" s="66">
        <f>-('SUSUT &amp; AMOR'!J60+'SUSUT &amp; AMOR'!H60)</f>
        <v>0</v>
      </c>
      <c r="O110" s="66"/>
      <c r="P110" s="66">
        <f>-'SUSUT &amp; AMOR'!I60</f>
        <v>-7824231590</v>
      </c>
      <c r="Q110" s="66">
        <f t="shared" si="16"/>
        <v>-3079493356</v>
      </c>
      <c r="R110" s="66"/>
      <c r="S110" s="66"/>
      <c r="T110" s="66"/>
      <c r="U110" s="66"/>
      <c r="V110" s="66">
        <f>Q110+S110-U110</f>
        <v>-3079493356</v>
      </c>
      <c r="W110" s="285"/>
    </row>
    <row r="111" spans="1:26" s="281" customFormat="1" ht="27" customHeight="1" x14ac:dyDescent="0.3">
      <c r="A111" s="273">
        <v>88</v>
      </c>
      <c r="B111" s="278"/>
      <c r="C111" s="279"/>
      <c r="D111" s="279" t="s">
        <v>818</v>
      </c>
      <c r="E111" s="279"/>
      <c r="F111" s="280"/>
      <c r="G111" s="66"/>
      <c r="H111" s="66"/>
      <c r="I111" s="66"/>
      <c r="J111" s="66"/>
      <c r="K111" s="66"/>
      <c r="L111" s="66"/>
      <c r="M111" s="66"/>
      <c r="N111" s="66">
        <f>'ASET LAINNYA'!J44</f>
        <v>0</v>
      </c>
      <c r="O111" s="66"/>
      <c r="P111" s="66">
        <v>0</v>
      </c>
      <c r="Q111" s="66">
        <f t="shared" si="16"/>
        <v>0</v>
      </c>
      <c r="R111" s="66"/>
      <c r="S111" s="66"/>
      <c r="T111" s="66"/>
      <c r="U111" s="66"/>
      <c r="V111" s="66"/>
      <c r="W111" s="285"/>
    </row>
    <row r="112" spans="1:26" s="277" customFormat="1" ht="27" customHeight="1" x14ac:dyDescent="0.3">
      <c r="A112" s="273">
        <v>89</v>
      </c>
      <c r="B112" s="274"/>
      <c r="C112" s="275"/>
      <c r="D112" s="275"/>
      <c r="E112" s="799" t="s">
        <v>486</v>
      </c>
      <c r="F112" s="800"/>
      <c r="G112" s="65">
        <f>SUM(G104:G111)</f>
        <v>112608200</v>
      </c>
      <c r="H112" s="65"/>
      <c r="I112" s="65">
        <f>SUM(I106:I110)</f>
        <v>0</v>
      </c>
      <c r="J112" s="65"/>
      <c r="K112" s="65">
        <f>SUM(K106:K110)</f>
        <v>0</v>
      </c>
      <c r="L112" s="65">
        <f>SUM(L106:L110)</f>
        <v>112608200</v>
      </c>
      <c r="M112" s="65"/>
      <c r="N112" s="65">
        <f>N103</f>
        <v>0</v>
      </c>
      <c r="O112" s="65"/>
      <c r="P112" s="65">
        <f>P103</f>
        <v>112608200</v>
      </c>
      <c r="Q112" s="65">
        <f>SUM(Q106:Q110)</f>
        <v>0</v>
      </c>
      <c r="R112" s="65"/>
      <c r="S112" s="65"/>
      <c r="T112" s="65"/>
      <c r="U112" s="65"/>
      <c r="V112" s="65">
        <f>SUM(V109:V110)</f>
        <v>-3079493356</v>
      </c>
      <c r="W112" s="583"/>
    </row>
    <row r="113" spans="1:28" s="277" customFormat="1" ht="27" customHeight="1" x14ac:dyDescent="0.3">
      <c r="A113" s="273"/>
      <c r="B113" s="274"/>
      <c r="C113" s="275"/>
      <c r="D113" s="275"/>
      <c r="E113" s="275"/>
      <c r="F113" s="276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583"/>
    </row>
    <row r="114" spans="1:28" s="277" customFormat="1" ht="27" customHeight="1" x14ac:dyDescent="0.3">
      <c r="A114" s="273">
        <v>90</v>
      </c>
      <c r="B114" s="274"/>
      <c r="C114" s="275"/>
      <c r="D114" s="275"/>
      <c r="E114" s="799" t="s">
        <v>487</v>
      </c>
      <c r="F114" s="800"/>
      <c r="G114" s="65">
        <f>+G40+G49+G97+G101+G112</f>
        <v>259697687197.32495</v>
      </c>
      <c r="H114" s="65"/>
      <c r="I114" s="65">
        <f>+I40+I49+I97+I101+I112</f>
        <v>-2242.7999954223601</v>
      </c>
      <c r="J114" s="65"/>
      <c r="K114" s="65">
        <f>+K40+K49+K97+K101+K112</f>
        <v>0</v>
      </c>
      <c r="L114" s="65">
        <f>+L40+L49+L97+L101+L112</f>
        <v>259697684954.52496</v>
      </c>
      <c r="M114" s="65"/>
      <c r="N114" s="65">
        <f>N40+N49+N97+N101+N112</f>
        <v>-1394786699.3200011</v>
      </c>
      <c r="O114" s="65"/>
      <c r="P114" s="65">
        <f>P40+P49+P97+P101+P112</f>
        <v>11703215335.593334</v>
      </c>
      <c r="Q114" s="65">
        <f>+Q40+Q49+Q97+Q101+Q112</f>
        <v>246599682919.61157</v>
      </c>
      <c r="R114" s="65"/>
      <c r="S114" s="65"/>
      <c r="T114" s="65"/>
      <c r="U114" s="65"/>
      <c r="V114" s="65" t="e">
        <f>+V40+V49+V97+V101+V112</f>
        <v>#REF!</v>
      </c>
      <c r="W114" s="583"/>
    </row>
    <row r="115" spans="1:28" s="277" customFormat="1" ht="27" customHeight="1" x14ac:dyDescent="0.3">
      <c r="A115" s="273"/>
      <c r="B115" s="274"/>
      <c r="C115" s="275"/>
      <c r="D115" s="275"/>
      <c r="E115" s="275"/>
      <c r="F115" s="276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583"/>
    </row>
    <row r="116" spans="1:28" s="277" customFormat="1" ht="27" customHeight="1" x14ac:dyDescent="0.3">
      <c r="A116" s="273">
        <v>91</v>
      </c>
      <c r="B116" s="274"/>
      <c r="C116" s="275" t="s">
        <v>245</v>
      </c>
      <c r="D116" s="275"/>
      <c r="E116" s="275"/>
      <c r="F116" s="276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583"/>
    </row>
    <row r="117" spans="1:28" s="277" customFormat="1" ht="27" customHeight="1" x14ac:dyDescent="0.3">
      <c r="A117" s="273">
        <v>92</v>
      </c>
      <c r="B117" s="274"/>
      <c r="C117" s="275" t="s">
        <v>246</v>
      </c>
      <c r="D117" s="275"/>
      <c r="E117" s="275"/>
      <c r="F117" s="276"/>
      <c r="G117" s="65">
        <f t="shared" ref="G117:M117" si="17">SUM(G118:G123)</f>
        <v>0</v>
      </c>
      <c r="H117" s="65">
        <f t="shared" si="17"/>
        <v>0</v>
      </c>
      <c r="I117" s="65">
        <f t="shared" si="17"/>
        <v>0</v>
      </c>
      <c r="J117" s="65">
        <f t="shared" si="17"/>
        <v>0</v>
      </c>
      <c r="K117" s="65">
        <f t="shared" si="17"/>
        <v>0</v>
      </c>
      <c r="L117" s="65">
        <f t="shared" si="17"/>
        <v>0</v>
      </c>
      <c r="M117" s="65">
        <f t="shared" si="17"/>
        <v>0</v>
      </c>
      <c r="N117" s="65">
        <f>SUM(N118:N123)</f>
        <v>0</v>
      </c>
      <c r="O117" s="65">
        <f>SUM(O118:O123)</f>
        <v>0</v>
      </c>
      <c r="P117" s="65">
        <f>SUM(P118:P123)</f>
        <v>0</v>
      </c>
      <c r="Q117" s="65">
        <f>SUM(Q118:Q123)</f>
        <v>0</v>
      </c>
      <c r="R117" s="65"/>
      <c r="S117" s="65"/>
      <c r="T117" s="65"/>
      <c r="U117" s="65"/>
      <c r="V117" s="65">
        <f>SUM(V122:V123)</f>
        <v>0</v>
      </c>
      <c r="W117" s="583"/>
      <c r="Y117" s="292"/>
      <c r="Z117" s="292"/>
      <c r="AA117" s="292"/>
      <c r="AB117" s="292"/>
    </row>
    <row r="118" spans="1:28" s="281" customFormat="1" ht="27" customHeight="1" x14ac:dyDescent="0.3">
      <c r="A118" s="273">
        <v>93</v>
      </c>
      <c r="B118" s="278"/>
      <c r="C118" s="279"/>
      <c r="D118" s="281" t="s">
        <v>284</v>
      </c>
      <c r="E118" s="279"/>
      <c r="F118" s="280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285"/>
      <c r="Y118" s="293"/>
      <c r="Z118" s="293"/>
      <c r="AA118" s="293"/>
      <c r="AB118" s="293"/>
    </row>
    <row r="119" spans="1:28" s="281" customFormat="1" ht="27" customHeight="1" x14ac:dyDescent="0.3">
      <c r="A119" s="273">
        <v>94</v>
      </c>
      <c r="B119" s="278"/>
      <c r="C119" s="279"/>
      <c r="D119" s="281" t="s">
        <v>285</v>
      </c>
      <c r="E119" s="279"/>
      <c r="F119" s="280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285"/>
      <c r="Y119" s="293"/>
      <c r="Z119" s="293"/>
      <c r="AA119" s="293"/>
      <c r="AB119" s="293"/>
    </row>
    <row r="120" spans="1:28" s="281" customFormat="1" ht="27" customHeight="1" x14ac:dyDescent="0.3">
      <c r="A120" s="273">
        <v>95</v>
      </c>
      <c r="B120" s="278"/>
      <c r="C120" s="279"/>
      <c r="D120" s="281" t="s">
        <v>286</v>
      </c>
      <c r="E120" s="279"/>
      <c r="F120" s="280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285"/>
      <c r="Y120" s="293"/>
      <c r="Z120" s="293"/>
      <c r="AA120" s="293"/>
      <c r="AB120" s="293"/>
    </row>
    <row r="121" spans="1:28" s="281" customFormat="1" ht="27" customHeight="1" x14ac:dyDescent="0.3">
      <c r="A121" s="273">
        <v>96</v>
      </c>
      <c r="B121" s="278"/>
      <c r="C121" s="279"/>
      <c r="D121" s="281" t="s">
        <v>287</v>
      </c>
      <c r="E121" s="279"/>
      <c r="F121" s="280"/>
      <c r="G121" s="66"/>
      <c r="H121" s="66"/>
      <c r="I121" s="66"/>
      <c r="J121" s="66"/>
      <c r="K121" s="66"/>
      <c r="L121" s="66"/>
      <c r="M121" s="66"/>
      <c r="N121" s="66"/>
      <c r="O121" s="66"/>
      <c r="P121" s="66">
        <f>'PENDAPATAN LO'!G29</f>
        <v>0</v>
      </c>
      <c r="Q121" s="66">
        <f>+L121+P121-N121</f>
        <v>0</v>
      </c>
      <c r="R121" s="66"/>
      <c r="S121" s="66"/>
      <c r="T121" s="66"/>
      <c r="U121" s="66"/>
      <c r="V121" s="66"/>
      <c r="W121" s="285"/>
      <c r="Y121" s="293"/>
      <c r="Z121" s="293"/>
      <c r="AA121" s="293"/>
      <c r="AB121" s="293"/>
    </row>
    <row r="122" spans="1:28" s="281" customFormat="1" ht="27" customHeight="1" x14ac:dyDescent="0.3">
      <c r="A122" s="273">
        <v>97</v>
      </c>
      <c r="B122" s="278"/>
      <c r="C122" s="279"/>
      <c r="D122" s="281" t="s">
        <v>410</v>
      </c>
      <c r="E122" s="279"/>
      <c r="F122" s="280"/>
      <c r="G122" s="66"/>
      <c r="H122" s="66"/>
      <c r="I122" s="66"/>
      <c r="J122" s="66"/>
      <c r="K122" s="66"/>
      <c r="L122" s="66">
        <f>+G122+K122-I122</f>
        <v>0</v>
      </c>
      <c r="M122" s="66"/>
      <c r="N122" s="66"/>
      <c r="O122" s="66"/>
      <c r="P122" s="66"/>
      <c r="Q122" s="66">
        <f>+L122+P122-N122</f>
        <v>0</v>
      </c>
      <c r="R122" s="66"/>
      <c r="S122" s="66"/>
      <c r="T122" s="66"/>
      <c r="U122" s="66"/>
      <c r="V122" s="66">
        <f>+Q122+U122-S122</f>
        <v>0</v>
      </c>
      <c r="W122" s="285"/>
      <c r="Y122" s="293"/>
      <c r="Z122" s="293"/>
      <c r="AA122" s="293"/>
      <c r="AB122" s="293"/>
    </row>
    <row r="123" spans="1:28" s="281" customFormat="1" ht="27" customHeight="1" x14ac:dyDescent="0.3">
      <c r="A123" s="273">
        <v>98</v>
      </c>
      <c r="B123" s="278"/>
      <c r="C123" s="279"/>
      <c r="D123" s="281" t="s">
        <v>247</v>
      </c>
      <c r="E123" s="279"/>
      <c r="F123" s="280"/>
      <c r="G123" s="66"/>
      <c r="H123" s="66"/>
      <c r="I123" s="66"/>
      <c r="J123" s="66"/>
      <c r="K123" s="66"/>
      <c r="L123" s="66">
        <f>G123-I123+K123</f>
        <v>0</v>
      </c>
      <c r="M123" s="66"/>
      <c r="N123" s="66"/>
      <c r="O123" s="66"/>
      <c r="P123" s="66"/>
      <c r="Q123" s="66">
        <f>L123-N123+P123</f>
        <v>0</v>
      </c>
      <c r="R123" s="66"/>
      <c r="S123" s="66"/>
      <c r="T123" s="66"/>
      <c r="U123" s="66"/>
      <c r="V123" s="66">
        <f>Q123-S123+U123</f>
        <v>0</v>
      </c>
      <c r="W123" s="285"/>
      <c r="Y123" s="293"/>
      <c r="Z123" s="293"/>
      <c r="AA123" s="293"/>
      <c r="AB123" s="293"/>
    </row>
    <row r="124" spans="1:28" s="277" customFormat="1" ht="27" customHeight="1" x14ac:dyDescent="0.3">
      <c r="A124" s="273">
        <v>99</v>
      </c>
      <c r="B124" s="274"/>
      <c r="C124" s="275" t="s">
        <v>248</v>
      </c>
      <c r="D124" s="275"/>
      <c r="F124" s="276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583"/>
      <c r="Y124" s="292"/>
      <c r="Z124" s="292"/>
      <c r="AA124" s="292"/>
      <c r="AB124" s="292"/>
    </row>
    <row r="125" spans="1:28" s="281" customFormat="1" ht="27" customHeight="1" x14ac:dyDescent="0.3">
      <c r="A125" s="273">
        <v>100</v>
      </c>
      <c r="B125" s="278"/>
      <c r="C125" s="279"/>
      <c r="D125" s="279" t="s">
        <v>288</v>
      </c>
      <c r="F125" s="280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285"/>
      <c r="Y125" s="293"/>
      <c r="Z125" s="293"/>
      <c r="AA125" s="293"/>
      <c r="AB125" s="293"/>
    </row>
    <row r="126" spans="1:28" s="281" customFormat="1" ht="27" customHeight="1" x14ac:dyDescent="0.3">
      <c r="A126" s="273">
        <v>101</v>
      </c>
      <c r="B126" s="278"/>
      <c r="C126" s="279"/>
      <c r="D126" s="279" t="s">
        <v>289</v>
      </c>
      <c r="E126" s="279"/>
      <c r="F126" s="280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285"/>
      <c r="Y126" s="293"/>
      <c r="Z126" s="293"/>
      <c r="AA126" s="293"/>
      <c r="AB126" s="293"/>
    </row>
    <row r="127" spans="1:28" s="281" customFormat="1" ht="27" customHeight="1" x14ac:dyDescent="0.3">
      <c r="A127" s="273">
        <v>102</v>
      </c>
      <c r="B127" s="278"/>
      <c r="C127" s="279"/>
      <c r="D127" s="281" t="s">
        <v>290</v>
      </c>
      <c r="F127" s="280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285"/>
      <c r="Y127" s="293"/>
      <c r="Z127" s="293"/>
      <c r="AA127" s="293"/>
      <c r="AB127" s="293"/>
    </row>
    <row r="128" spans="1:28" s="281" customFormat="1" ht="27" customHeight="1" x14ac:dyDescent="0.3">
      <c r="A128" s="273">
        <v>103</v>
      </c>
      <c r="B128" s="278"/>
      <c r="C128" s="279"/>
      <c r="D128" s="279" t="s">
        <v>249</v>
      </c>
      <c r="F128" s="280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285"/>
      <c r="Y128" s="293"/>
      <c r="Z128" s="293"/>
      <c r="AA128" s="293"/>
      <c r="AB128" s="293"/>
    </row>
    <row r="129" spans="1:28" s="277" customFormat="1" ht="27" customHeight="1" x14ac:dyDescent="0.3">
      <c r="A129" s="273">
        <v>104</v>
      </c>
      <c r="B129" s="274"/>
      <c r="C129" s="275"/>
      <c r="D129" s="275"/>
      <c r="E129" s="275"/>
      <c r="F129" s="294" t="s">
        <v>250</v>
      </c>
      <c r="G129" s="65">
        <f>SUM(G125:G128)</f>
        <v>0</v>
      </c>
      <c r="H129" s="65"/>
      <c r="I129" s="65"/>
      <c r="J129" s="65"/>
      <c r="K129" s="65"/>
      <c r="L129" s="65">
        <f t="shared" ref="L129:Q129" si="18">SUM(L125:L128)</f>
        <v>0</v>
      </c>
      <c r="M129" s="65"/>
      <c r="N129" s="65">
        <f t="shared" si="18"/>
        <v>0</v>
      </c>
      <c r="O129" s="65"/>
      <c r="P129" s="65">
        <f t="shared" si="18"/>
        <v>0</v>
      </c>
      <c r="Q129" s="65">
        <f t="shared" si="18"/>
        <v>0</v>
      </c>
      <c r="R129" s="65"/>
      <c r="S129" s="65"/>
      <c r="T129" s="65"/>
      <c r="U129" s="65"/>
      <c r="V129" s="65"/>
      <c r="W129" s="583"/>
      <c r="Y129" s="292"/>
      <c r="Z129" s="292"/>
      <c r="AA129" s="292"/>
      <c r="AB129" s="292"/>
    </row>
    <row r="130" spans="1:28" s="281" customFormat="1" ht="27" customHeight="1" x14ac:dyDescent="0.3">
      <c r="A130" s="273">
        <v>105</v>
      </c>
      <c r="B130" s="278"/>
      <c r="C130" s="279"/>
      <c r="D130" s="279"/>
      <c r="E130" s="279"/>
      <c r="F130" s="295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285"/>
      <c r="Y130" s="293"/>
      <c r="Z130" s="293"/>
      <c r="AA130" s="293"/>
      <c r="AB130" s="293"/>
    </row>
    <row r="131" spans="1:28" s="277" customFormat="1" ht="27" customHeight="1" x14ac:dyDescent="0.3">
      <c r="A131" s="273">
        <v>106</v>
      </c>
      <c r="B131" s="274"/>
      <c r="C131" s="275"/>
      <c r="D131" s="275"/>
      <c r="E131" s="799" t="s">
        <v>488</v>
      </c>
      <c r="F131" s="800"/>
      <c r="G131" s="65">
        <f>+G117+G124</f>
        <v>0</v>
      </c>
      <c r="H131" s="65"/>
      <c r="I131" s="65"/>
      <c r="J131" s="65"/>
      <c r="K131" s="65"/>
      <c r="L131" s="65">
        <f>+L117+L124</f>
        <v>0</v>
      </c>
      <c r="M131" s="65"/>
      <c r="N131" s="65">
        <f>N124+N117</f>
        <v>0</v>
      </c>
      <c r="O131" s="65"/>
      <c r="P131" s="65">
        <f>P124+P117</f>
        <v>0</v>
      </c>
      <c r="Q131" s="65">
        <f>+Q117+Q124</f>
        <v>0</v>
      </c>
      <c r="R131" s="65"/>
      <c r="S131" s="65"/>
      <c r="T131" s="65"/>
      <c r="U131" s="65"/>
      <c r="V131" s="65">
        <f>+V117+V124</f>
        <v>0</v>
      </c>
      <c r="W131" s="583"/>
    </row>
    <row r="132" spans="1:28" s="277" customFormat="1" ht="27" customHeight="1" x14ac:dyDescent="0.3">
      <c r="A132" s="273"/>
      <c r="B132" s="296"/>
      <c r="C132" s="297"/>
      <c r="D132" s="297"/>
      <c r="E132" s="298"/>
      <c r="F132" s="299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583"/>
    </row>
    <row r="133" spans="1:28" s="277" customFormat="1" ht="27" customHeight="1" x14ac:dyDescent="0.3">
      <c r="A133" s="273">
        <v>107</v>
      </c>
      <c r="B133" s="296"/>
      <c r="C133" s="297" t="s">
        <v>248</v>
      </c>
      <c r="D133" s="297"/>
      <c r="E133" s="298"/>
      <c r="F133" s="299"/>
      <c r="G133" s="102">
        <f>SUM(G134:G136)</f>
        <v>0</v>
      </c>
      <c r="H133" s="102"/>
      <c r="I133" s="102"/>
      <c r="J133" s="102"/>
      <c r="K133" s="102"/>
      <c r="L133" s="102">
        <f>SUM(L134:L136)</f>
        <v>0</v>
      </c>
      <c r="M133" s="102"/>
      <c r="N133" s="102"/>
      <c r="O133" s="102"/>
      <c r="P133" s="102"/>
      <c r="Q133" s="102">
        <f>SUM(Q134:Q136)</f>
        <v>0</v>
      </c>
      <c r="R133" s="102"/>
      <c r="S133" s="102"/>
      <c r="T133" s="102"/>
      <c r="U133" s="102"/>
      <c r="V133" s="102"/>
      <c r="W133" s="583"/>
    </row>
    <row r="134" spans="1:28" s="281" customFormat="1" ht="27" customHeight="1" x14ac:dyDescent="0.3">
      <c r="A134" s="273">
        <v>108</v>
      </c>
      <c r="B134" s="289"/>
      <c r="C134" s="290"/>
      <c r="D134" s="290" t="s">
        <v>409</v>
      </c>
      <c r="E134" s="300"/>
      <c r="F134" s="3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285"/>
    </row>
    <row r="135" spans="1:28" s="281" customFormat="1" ht="27" customHeight="1" x14ac:dyDescent="0.3">
      <c r="A135" s="273">
        <v>109</v>
      </c>
      <c r="B135" s="289"/>
      <c r="C135" s="290"/>
      <c r="D135" s="290" t="s">
        <v>408</v>
      </c>
      <c r="E135" s="300"/>
      <c r="F135" s="3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285"/>
    </row>
    <row r="136" spans="1:28" s="281" customFormat="1" ht="27" customHeight="1" x14ac:dyDescent="0.3">
      <c r="A136" s="273">
        <v>110</v>
      </c>
      <c r="B136" s="289"/>
      <c r="C136" s="290"/>
      <c r="D136" s="290" t="s">
        <v>249</v>
      </c>
      <c r="E136" s="300"/>
      <c r="F136" s="3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285"/>
    </row>
    <row r="137" spans="1:28" s="281" customFormat="1" ht="27" customHeight="1" x14ac:dyDescent="0.3">
      <c r="A137" s="273">
        <v>111</v>
      </c>
      <c r="B137" s="289"/>
      <c r="C137" s="290"/>
      <c r="D137" s="290"/>
      <c r="E137" s="803" t="s">
        <v>489</v>
      </c>
      <c r="F137" s="804"/>
      <c r="G137" s="101">
        <f>G133</f>
        <v>0</v>
      </c>
      <c r="H137" s="101"/>
      <c r="I137" s="101"/>
      <c r="J137" s="101"/>
      <c r="K137" s="101"/>
      <c r="L137" s="101">
        <f>L133</f>
        <v>0</v>
      </c>
      <c r="M137" s="101"/>
      <c r="N137" s="101"/>
      <c r="O137" s="101"/>
      <c r="P137" s="101"/>
      <c r="Q137" s="101">
        <f>Q133</f>
        <v>0</v>
      </c>
      <c r="R137" s="101"/>
      <c r="S137" s="101"/>
      <c r="T137" s="101"/>
      <c r="U137" s="101"/>
      <c r="V137" s="101"/>
      <c r="W137" s="285"/>
    </row>
    <row r="138" spans="1:28" s="281" customFormat="1" ht="27" customHeight="1" x14ac:dyDescent="0.3">
      <c r="A138" s="273"/>
      <c r="B138" s="289"/>
      <c r="C138" s="290"/>
      <c r="D138" s="290"/>
      <c r="E138" s="302"/>
      <c r="F138" s="303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285"/>
    </row>
    <row r="139" spans="1:28" s="281" customFormat="1" ht="27" customHeight="1" x14ac:dyDescent="0.3">
      <c r="A139" s="273">
        <v>112</v>
      </c>
      <c r="B139" s="289"/>
      <c r="C139" s="290"/>
      <c r="D139" s="290"/>
      <c r="E139" s="799" t="s">
        <v>491</v>
      </c>
      <c r="F139" s="8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285"/>
    </row>
    <row r="140" spans="1:28" s="277" customFormat="1" ht="27" customHeight="1" x14ac:dyDescent="0.3">
      <c r="A140" s="273"/>
      <c r="B140" s="296"/>
      <c r="C140" s="297"/>
      <c r="D140" s="297"/>
      <c r="E140" s="298"/>
      <c r="F140" s="299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583"/>
    </row>
    <row r="141" spans="1:28" s="277" customFormat="1" ht="22.5" customHeight="1" x14ac:dyDescent="0.3">
      <c r="A141" s="273">
        <v>113</v>
      </c>
      <c r="B141" s="296"/>
      <c r="C141" s="297" t="s">
        <v>293</v>
      </c>
      <c r="D141" s="297"/>
      <c r="E141" s="297"/>
      <c r="F141" s="304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583"/>
    </row>
    <row r="142" spans="1:28" s="277" customFormat="1" ht="22.5" customHeight="1" x14ac:dyDescent="0.3">
      <c r="A142" s="273">
        <v>114</v>
      </c>
      <c r="B142" s="274"/>
      <c r="C142" s="275" t="s">
        <v>293</v>
      </c>
      <c r="D142" s="275"/>
      <c r="E142" s="275"/>
      <c r="F142" s="276"/>
      <c r="G142" s="65">
        <f>SUM(G143:G155)</f>
        <v>259697687197.31998</v>
      </c>
      <c r="H142" s="65"/>
      <c r="I142" s="65">
        <f>SUM(I143:I155)</f>
        <v>0</v>
      </c>
      <c r="J142" s="65"/>
      <c r="K142" s="65">
        <f>SUM(K143:K155)</f>
        <v>-2242.7999954223601</v>
      </c>
      <c r="L142" s="65">
        <f>SUM(L143:L155)</f>
        <v>259697684954.51999</v>
      </c>
      <c r="M142" s="65"/>
      <c r="N142" s="65">
        <f>SUM(N143:N155)</f>
        <v>11703215335.593334</v>
      </c>
      <c r="O142" s="65"/>
      <c r="P142" s="65">
        <f>SUM(P143:P155)</f>
        <v>-183481085096.32001</v>
      </c>
      <c r="Q142" s="65">
        <f>SUM(Q143:Q155)</f>
        <v>64513384522.606651</v>
      </c>
      <c r="R142" s="65"/>
      <c r="S142" s="65"/>
      <c r="T142" s="65"/>
      <c r="U142" s="65"/>
      <c r="V142" s="65">
        <f>SUM(V143:V148)</f>
        <v>-182023931462</v>
      </c>
      <c r="W142" s="583"/>
    </row>
    <row r="143" spans="1:28" s="281" customFormat="1" ht="22.5" customHeight="1" x14ac:dyDescent="0.3">
      <c r="A143" s="273"/>
      <c r="B143" s="278"/>
      <c r="C143" s="279"/>
      <c r="D143" s="279"/>
      <c r="E143" s="279" t="s">
        <v>407</v>
      </c>
      <c r="F143" s="280"/>
      <c r="G143" s="66"/>
      <c r="H143" s="66"/>
      <c r="I143" s="66"/>
      <c r="J143" s="66"/>
      <c r="K143" s="66"/>
      <c r="L143" s="66">
        <f>+G143+K143-I143</f>
        <v>0</v>
      </c>
      <c r="M143" s="66"/>
      <c r="N143" s="66">
        <f>L143</f>
        <v>0</v>
      </c>
      <c r="O143" s="66"/>
      <c r="P143" s="66">
        <f>-P156+N20</f>
        <v>-182086298397</v>
      </c>
      <c r="Q143" s="66">
        <f>+L143+P143-N143</f>
        <v>-182086298397</v>
      </c>
      <c r="R143" s="66"/>
      <c r="S143" s="66"/>
      <c r="T143" s="66"/>
      <c r="U143" s="66"/>
      <c r="V143" s="66">
        <f>+Q143+U143-S143</f>
        <v>-182086298397</v>
      </c>
      <c r="W143" s="285"/>
    </row>
    <row r="144" spans="1:28" s="281" customFormat="1" ht="22.5" customHeight="1" x14ac:dyDescent="0.3">
      <c r="A144" s="273"/>
      <c r="B144" s="278"/>
      <c r="C144" s="279"/>
      <c r="D144" s="279"/>
      <c r="E144" s="279" t="s">
        <v>251</v>
      </c>
      <c r="F144" s="280"/>
      <c r="G144" s="66"/>
      <c r="H144" s="66"/>
      <c r="I144" s="66"/>
      <c r="J144" s="66"/>
      <c r="K144" s="66"/>
      <c r="L144" s="66">
        <f t="shared" ref="L144:L155" si="19">+G144+K144-I144</f>
        <v>0</v>
      </c>
      <c r="M144" s="66"/>
      <c r="N144" s="66">
        <f>P19</f>
        <v>0</v>
      </c>
      <c r="O144" s="66"/>
      <c r="P144" s="66"/>
      <c r="Q144" s="66">
        <f t="shared" ref="Q144:Q155" si="20">+L144+P144-N144</f>
        <v>0</v>
      </c>
      <c r="R144" s="66"/>
      <c r="S144" s="66"/>
      <c r="T144" s="66"/>
      <c r="U144" s="66"/>
      <c r="V144" s="66">
        <f>Q144-SUM(S144:S144)+SUM(U144:U144)</f>
        <v>0</v>
      </c>
      <c r="W144" s="285"/>
    </row>
    <row r="145" spans="1:23" s="281" customFormat="1" ht="22.5" customHeight="1" x14ac:dyDescent="0.3">
      <c r="A145" s="273"/>
      <c r="B145" s="278"/>
      <c r="C145" s="279"/>
      <c r="D145" s="279"/>
      <c r="E145" s="279" t="s">
        <v>252</v>
      </c>
      <c r="F145" s="280"/>
      <c r="G145" s="66"/>
      <c r="H145" s="66"/>
      <c r="I145" s="66"/>
      <c r="J145" s="66"/>
      <c r="K145" s="66"/>
      <c r="L145" s="66">
        <f t="shared" si="19"/>
        <v>0</v>
      </c>
      <c r="M145" s="66"/>
      <c r="N145" s="66"/>
      <c r="O145" s="66"/>
      <c r="P145" s="66">
        <f>N18</f>
        <v>8582</v>
      </c>
      <c r="Q145" s="66">
        <f t="shared" si="20"/>
        <v>8582</v>
      </c>
      <c r="R145" s="66"/>
      <c r="S145" s="66"/>
      <c r="T145" s="66"/>
      <c r="U145" s="66"/>
      <c r="V145" s="66">
        <f>+Q145+U145-S145</f>
        <v>8582</v>
      </c>
      <c r="W145" s="285"/>
    </row>
    <row r="146" spans="1:23" s="281" customFormat="1" ht="22.5" customHeight="1" x14ac:dyDescent="0.3">
      <c r="A146" s="273"/>
      <c r="B146" s="278"/>
      <c r="C146" s="279"/>
      <c r="D146" s="279"/>
      <c r="E146" s="279" t="s">
        <v>253</v>
      </c>
      <c r="F146" s="280"/>
      <c r="G146" s="66"/>
      <c r="H146" s="66"/>
      <c r="I146" s="66">
        <f>K28</f>
        <v>0</v>
      </c>
      <c r="J146" s="66"/>
      <c r="K146" s="66"/>
      <c r="L146" s="66">
        <f t="shared" si="19"/>
        <v>0</v>
      </c>
      <c r="M146" s="66"/>
      <c r="N146" s="66">
        <f>P24</f>
        <v>0</v>
      </c>
      <c r="O146" s="66"/>
      <c r="P146" s="66">
        <f>N24</f>
        <v>0</v>
      </c>
      <c r="Q146" s="66">
        <f t="shared" si="20"/>
        <v>0</v>
      </c>
      <c r="R146" s="66"/>
      <c r="S146" s="66"/>
      <c r="T146" s="66"/>
      <c r="U146" s="66"/>
      <c r="V146" s="66">
        <f>Q146-SUM(S146:S146)+U146</f>
        <v>0</v>
      </c>
      <c r="W146" s="285"/>
    </row>
    <row r="147" spans="1:23" s="281" customFormat="1" ht="22.5" customHeight="1" x14ac:dyDescent="0.3">
      <c r="A147" s="273"/>
      <c r="B147" s="278"/>
      <c r="C147" s="279"/>
      <c r="D147" s="279"/>
      <c r="E147" s="279" t="s">
        <v>254</v>
      </c>
      <c r="F147" s="280"/>
      <c r="G147" s="66">
        <v>47926228</v>
      </c>
      <c r="H147" s="66"/>
      <c r="I147" s="66"/>
      <c r="J147" s="66"/>
      <c r="K147" s="66"/>
      <c r="L147" s="66">
        <f t="shared" si="19"/>
        <v>47926228</v>
      </c>
      <c r="M147" s="66"/>
      <c r="N147" s="66">
        <f>P33</f>
        <v>47926228</v>
      </c>
      <c r="O147" s="66"/>
      <c r="P147" s="66">
        <f>+N33</f>
        <v>62358353</v>
      </c>
      <c r="Q147" s="66">
        <f t="shared" si="20"/>
        <v>62358353</v>
      </c>
      <c r="R147" s="66"/>
      <c r="S147" s="66"/>
      <c r="T147" s="66"/>
      <c r="U147" s="66"/>
      <c r="V147" s="66">
        <f>Q147-S147+SUM(U147:U147)</f>
        <v>62358353</v>
      </c>
      <c r="W147" s="285"/>
    </row>
    <row r="148" spans="1:23" s="281" customFormat="1" ht="37.5" customHeight="1" x14ac:dyDescent="0.3">
      <c r="A148" s="273"/>
      <c r="B148" s="278"/>
      <c r="C148" s="279"/>
      <c r="D148" s="279"/>
      <c r="E148" s="801" t="s">
        <v>255</v>
      </c>
      <c r="F148" s="802"/>
      <c r="G148" s="66"/>
      <c r="H148" s="66"/>
      <c r="I148" s="66"/>
      <c r="J148" s="66"/>
      <c r="K148" s="66"/>
      <c r="L148" s="66">
        <f t="shared" si="19"/>
        <v>0</v>
      </c>
      <c r="M148" s="66"/>
      <c r="N148" s="66">
        <f>P117-P121</f>
        <v>0</v>
      </c>
      <c r="O148" s="66"/>
      <c r="P148" s="66">
        <f>N117-N121</f>
        <v>0</v>
      </c>
      <c r="Q148" s="66">
        <f t="shared" si="20"/>
        <v>0</v>
      </c>
      <c r="R148" s="66"/>
      <c r="S148" s="66"/>
      <c r="T148" s="66"/>
      <c r="U148" s="66"/>
      <c r="V148" s="66">
        <f>Q148-S148+SUM(U148:U148)</f>
        <v>0</v>
      </c>
      <c r="W148" s="285"/>
    </row>
    <row r="149" spans="1:23" s="281" customFormat="1" ht="22.5" customHeight="1" x14ac:dyDescent="0.3">
      <c r="A149" s="273"/>
      <c r="B149" s="278"/>
      <c r="C149" s="279"/>
      <c r="D149" s="279"/>
      <c r="E149" s="279" t="s">
        <v>256</v>
      </c>
      <c r="F149" s="280"/>
      <c r="G149" s="66"/>
      <c r="H149" s="66"/>
      <c r="I149" s="66"/>
      <c r="J149" s="66"/>
      <c r="K149" s="66"/>
      <c r="L149" s="66">
        <f t="shared" si="19"/>
        <v>0</v>
      </c>
      <c r="M149" s="66"/>
      <c r="N149" s="66"/>
      <c r="O149" s="66"/>
      <c r="P149" s="66"/>
      <c r="Q149" s="66">
        <f t="shared" si="20"/>
        <v>0</v>
      </c>
      <c r="R149" s="66"/>
      <c r="S149" s="66"/>
      <c r="T149" s="66"/>
      <c r="U149" s="66"/>
      <c r="V149" s="66">
        <f>Q149-S149+U149</f>
        <v>0</v>
      </c>
      <c r="W149" s="285"/>
    </row>
    <row r="150" spans="1:23" s="281" customFormat="1" ht="22.5" customHeight="1" x14ac:dyDescent="0.3">
      <c r="A150" s="273"/>
      <c r="B150" s="278"/>
      <c r="C150" s="279"/>
      <c r="D150" s="279"/>
      <c r="E150" s="279" t="s">
        <v>257</v>
      </c>
      <c r="F150" s="280"/>
      <c r="G150" s="66">
        <v>259216862523.48999</v>
      </c>
      <c r="H150" s="66"/>
      <c r="I150" s="66">
        <f>+K97</f>
        <v>0</v>
      </c>
      <c r="J150" s="66"/>
      <c r="K150" s="66">
        <f>+I97</f>
        <v>-2242.7999954223601</v>
      </c>
      <c r="L150" s="66">
        <f>+G150-I150+K150</f>
        <v>259216860280.69</v>
      </c>
      <c r="M150" s="66"/>
      <c r="N150" s="66">
        <f>+P97</f>
        <v>11222390661.76</v>
      </c>
      <c r="O150" s="66"/>
      <c r="P150" s="66">
        <f>+N97</f>
        <v>-1775242884.3200009</v>
      </c>
      <c r="Q150" s="66">
        <f>+L150-N150+P150</f>
        <v>246219226734.60999</v>
      </c>
      <c r="R150" s="66"/>
      <c r="S150" s="66"/>
      <c r="T150" s="66"/>
      <c r="U150" s="66"/>
      <c r="V150" s="66">
        <f>+Q150-SUM(S150:S150)+SUM(U150:U150)</f>
        <v>246219226734.60999</v>
      </c>
      <c r="W150" s="285"/>
    </row>
    <row r="151" spans="1:23" s="281" customFormat="1" ht="22.5" customHeight="1" x14ac:dyDescent="0.3">
      <c r="A151" s="273"/>
      <c r="B151" s="278"/>
      <c r="C151" s="279"/>
      <c r="D151" s="279"/>
      <c r="E151" s="279" t="s">
        <v>258</v>
      </c>
      <c r="F151" s="280"/>
      <c r="G151" s="66">
        <v>112608200</v>
      </c>
      <c r="H151" s="66"/>
      <c r="I151" s="66">
        <f>K110</f>
        <v>0</v>
      </c>
      <c r="J151" s="66"/>
      <c r="K151" s="66">
        <f>I110</f>
        <v>0</v>
      </c>
      <c r="L151" s="66">
        <f>+G151-I151+K151</f>
        <v>112608200</v>
      </c>
      <c r="M151" s="66"/>
      <c r="N151" s="66">
        <f>P112</f>
        <v>112608200</v>
      </c>
      <c r="O151" s="66"/>
      <c r="P151" s="66">
        <f>N112</f>
        <v>0</v>
      </c>
      <c r="Q151" s="66">
        <f t="shared" si="20"/>
        <v>0</v>
      </c>
      <c r="R151" s="66"/>
      <c r="S151" s="66"/>
      <c r="T151" s="66"/>
      <c r="U151" s="66"/>
      <c r="V151" s="66">
        <f>Q151+SUM(U151:U151)</f>
        <v>0</v>
      </c>
      <c r="W151" s="285"/>
    </row>
    <row r="152" spans="1:23" s="281" customFormat="1" ht="36.75" customHeight="1" x14ac:dyDescent="0.3">
      <c r="A152" s="273"/>
      <c r="B152" s="278"/>
      <c r="C152" s="279"/>
      <c r="D152" s="279"/>
      <c r="E152" s="801" t="s">
        <v>259</v>
      </c>
      <c r="F152" s="802"/>
      <c r="G152" s="103"/>
      <c r="H152" s="103"/>
      <c r="I152" s="103"/>
      <c r="J152" s="103"/>
      <c r="K152" s="103"/>
      <c r="L152" s="66">
        <f t="shared" si="19"/>
        <v>0</v>
      </c>
      <c r="M152" s="103"/>
      <c r="N152" s="103"/>
      <c r="O152" s="103"/>
      <c r="P152" s="103"/>
      <c r="Q152" s="66">
        <f t="shared" si="20"/>
        <v>0</v>
      </c>
      <c r="R152" s="103"/>
      <c r="S152" s="103"/>
      <c r="T152" s="103"/>
      <c r="U152" s="103"/>
      <c r="V152" s="66">
        <f>+Q152+U152-S152</f>
        <v>0</v>
      </c>
      <c r="W152" s="285"/>
    </row>
    <row r="153" spans="1:23" s="281" customFormat="1" ht="22.5" customHeight="1" x14ac:dyDescent="0.3">
      <c r="A153" s="273"/>
      <c r="B153" s="278"/>
      <c r="C153" s="279"/>
      <c r="D153" s="279"/>
      <c r="E153" s="279" t="s">
        <v>260</v>
      </c>
      <c r="F153" s="280"/>
      <c r="G153" s="66"/>
      <c r="H153" s="66"/>
      <c r="I153" s="66"/>
      <c r="J153" s="66"/>
      <c r="K153" s="66"/>
      <c r="L153" s="66">
        <f t="shared" si="19"/>
        <v>0</v>
      </c>
      <c r="M153" s="66"/>
      <c r="N153" s="66"/>
      <c r="O153" s="66"/>
      <c r="P153" s="66"/>
      <c r="Q153" s="66">
        <f t="shared" si="20"/>
        <v>0</v>
      </c>
      <c r="R153" s="66"/>
      <c r="S153" s="66"/>
      <c r="T153" s="66"/>
      <c r="U153" s="66"/>
      <c r="V153" s="66">
        <f>+Q153+U153-S153</f>
        <v>0</v>
      </c>
      <c r="W153" s="285"/>
    </row>
    <row r="154" spans="1:23" s="281" customFormat="1" ht="22.5" customHeight="1" x14ac:dyDescent="0.3">
      <c r="A154" s="273"/>
      <c r="B154" s="278"/>
      <c r="C154" s="279"/>
      <c r="D154" s="279"/>
      <c r="E154" s="279" t="s">
        <v>291</v>
      </c>
      <c r="F154" s="280"/>
      <c r="G154" s="66">
        <v>320290245.82999998</v>
      </c>
      <c r="H154" s="66"/>
      <c r="I154" s="66"/>
      <c r="J154" s="66"/>
      <c r="K154" s="66"/>
      <c r="L154" s="66">
        <f t="shared" si="19"/>
        <v>320290245.82999998</v>
      </c>
      <c r="M154" s="66"/>
      <c r="N154" s="66">
        <f>P30</f>
        <v>320290245.83333325</v>
      </c>
      <c r="O154" s="66"/>
      <c r="P154" s="66">
        <f>N29</f>
        <v>318089249.99999988</v>
      </c>
      <c r="Q154" s="66">
        <f t="shared" si="20"/>
        <v>318089249.99666667</v>
      </c>
      <c r="R154" s="66"/>
      <c r="S154" s="66"/>
      <c r="T154" s="66"/>
      <c r="U154" s="66"/>
      <c r="V154" s="66"/>
      <c r="W154" s="285"/>
    </row>
    <row r="155" spans="1:23" s="281" customFormat="1" ht="22.5" customHeight="1" x14ac:dyDescent="0.3">
      <c r="A155" s="273"/>
      <c r="B155" s="278"/>
      <c r="C155" s="279"/>
      <c r="D155" s="279"/>
      <c r="E155" s="279" t="s">
        <v>292</v>
      </c>
      <c r="F155" s="280"/>
      <c r="G155" s="66"/>
      <c r="H155" s="66"/>
      <c r="I155" s="66"/>
      <c r="J155" s="66"/>
      <c r="K155" s="66"/>
      <c r="L155" s="66">
        <f t="shared" si="19"/>
        <v>0</v>
      </c>
      <c r="M155" s="66"/>
      <c r="N155" s="66">
        <f>P121</f>
        <v>0</v>
      </c>
      <c r="O155" s="66"/>
      <c r="P155" s="66"/>
      <c r="Q155" s="66">
        <f t="shared" si="20"/>
        <v>0</v>
      </c>
      <c r="R155" s="66"/>
      <c r="S155" s="66"/>
      <c r="T155" s="66"/>
      <c r="U155" s="66"/>
      <c r="V155" s="66"/>
      <c r="W155" s="285"/>
    </row>
    <row r="156" spans="1:23" s="277" customFormat="1" ht="22.5" customHeight="1" x14ac:dyDescent="0.3">
      <c r="A156" s="305">
        <v>115</v>
      </c>
      <c r="B156" s="274"/>
      <c r="C156" s="275" t="s">
        <v>406</v>
      </c>
      <c r="D156" s="275"/>
      <c r="E156" s="275"/>
      <c r="F156" s="276"/>
      <c r="G156" s="65"/>
      <c r="H156" s="65"/>
      <c r="I156" s="65"/>
      <c r="J156" s="65"/>
      <c r="K156" s="65"/>
      <c r="L156" s="65">
        <f>+G156+K156-I156</f>
        <v>0</v>
      </c>
      <c r="M156" s="65"/>
      <c r="N156" s="65"/>
      <c r="O156" s="65"/>
      <c r="P156" s="65">
        <f>-'LRA STLH KONVERSI (RINCI)'!E152</f>
        <v>182086298397</v>
      </c>
      <c r="Q156" s="65">
        <f>+L156+P156-N156</f>
        <v>182086298397</v>
      </c>
      <c r="R156" s="65"/>
      <c r="S156" s="65"/>
      <c r="T156" s="65"/>
      <c r="U156" s="65"/>
      <c r="V156" s="65"/>
      <c r="W156" s="583"/>
    </row>
    <row r="157" spans="1:23" s="277" customFormat="1" ht="22.5" customHeight="1" x14ac:dyDescent="0.3">
      <c r="A157" s="273"/>
      <c r="B157" s="274"/>
      <c r="C157" s="275"/>
      <c r="D157" s="275"/>
      <c r="E157" s="275"/>
      <c r="F157" s="276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583"/>
    </row>
    <row r="158" spans="1:23" s="277" customFormat="1" ht="22.5" customHeight="1" x14ac:dyDescent="0.3">
      <c r="A158" s="273">
        <v>116</v>
      </c>
      <c r="B158" s="274"/>
      <c r="C158" s="275"/>
      <c r="D158" s="275"/>
      <c r="E158" s="306" t="s">
        <v>293</v>
      </c>
      <c r="F158" s="294"/>
      <c r="G158" s="65">
        <f>G142+G156</f>
        <v>259697687197.31998</v>
      </c>
      <c r="H158" s="65">
        <f t="shared" ref="H158:Q158" si="21">H142+H156</f>
        <v>0</v>
      </c>
      <c r="I158" s="65">
        <f t="shared" si="21"/>
        <v>0</v>
      </c>
      <c r="J158" s="65">
        <f t="shared" si="21"/>
        <v>0</v>
      </c>
      <c r="K158" s="65">
        <f t="shared" si="21"/>
        <v>-2242.7999954223601</v>
      </c>
      <c r="L158" s="65">
        <f t="shared" si="21"/>
        <v>259697684954.51999</v>
      </c>
      <c r="M158" s="65">
        <f t="shared" si="21"/>
        <v>0</v>
      </c>
      <c r="N158" s="65">
        <f>N142+N156</f>
        <v>11703215335.593334</v>
      </c>
      <c r="O158" s="65">
        <f t="shared" si="21"/>
        <v>0</v>
      </c>
      <c r="P158" s="65">
        <f t="shared" si="21"/>
        <v>-1394786699.3200073</v>
      </c>
      <c r="Q158" s="65">
        <f t="shared" si="21"/>
        <v>246599682919.60666</v>
      </c>
      <c r="R158" s="65"/>
      <c r="S158" s="65"/>
      <c r="T158" s="65"/>
      <c r="U158" s="65"/>
      <c r="V158" s="65" t="e">
        <f>+V142+#REF!+#REF!</f>
        <v>#REF!</v>
      </c>
      <c r="W158" s="583"/>
    </row>
    <row r="159" spans="1:23" s="281" customFormat="1" ht="22.5" customHeight="1" x14ac:dyDescent="0.3">
      <c r="A159" s="273"/>
      <c r="B159" s="278"/>
      <c r="C159" s="279"/>
      <c r="D159" s="279"/>
      <c r="E159" s="279"/>
      <c r="F159" s="280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285"/>
    </row>
    <row r="160" spans="1:23" s="277" customFormat="1" ht="22.5" customHeight="1" x14ac:dyDescent="0.3">
      <c r="A160" s="307">
        <v>117</v>
      </c>
      <c r="B160" s="308"/>
      <c r="C160" s="309"/>
      <c r="D160" s="309"/>
      <c r="E160" s="813" t="s">
        <v>490</v>
      </c>
      <c r="F160" s="814"/>
      <c r="G160" s="104">
        <f>+G158+G131</f>
        <v>259697687197.31998</v>
      </c>
      <c r="H160" s="104"/>
      <c r="I160" s="104">
        <f>+I158+I131</f>
        <v>0</v>
      </c>
      <c r="J160" s="104"/>
      <c r="K160" s="104">
        <f>+K158+K131</f>
        <v>-2242.7999954223601</v>
      </c>
      <c r="L160" s="104">
        <f>+L158+L131</f>
        <v>259697684954.51999</v>
      </c>
      <c r="M160" s="104"/>
      <c r="N160" s="104">
        <f>N131+N158+N114</f>
        <v>10308428636.273333</v>
      </c>
      <c r="O160" s="104"/>
      <c r="P160" s="104">
        <f>P131+P158+P114</f>
        <v>10308428636.273327</v>
      </c>
      <c r="Q160" s="104">
        <f>+Q158+Q131</f>
        <v>246599682919.60666</v>
      </c>
      <c r="R160" s="104"/>
      <c r="S160" s="104">
        <f>SUM(S14:S159)</f>
        <v>0</v>
      </c>
      <c r="T160" s="104"/>
      <c r="U160" s="104">
        <f>SUM(U14:U159)</f>
        <v>0</v>
      </c>
      <c r="V160" s="104" t="e">
        <f>+V158+V131</f>
        <v>#REF!</v>
      </c>
      <c r="W160" s="583"/>
    </row>
    <row r="161" spans="1:23" s="49" customFormat="1" ht="25.5" customHeight="1" x14ac:dyDescent="0.35">
      <c r="A161" s="163"/>
      <c r="B161" s="164"/>
      <c r="C161" s="164"/>
      <c r="D161" s="164"/>
      <c r="E161" s="806"/>
      <c r="F161" s="806"/>
      <c r="G161" s="67">
        <f>G160-G114</f>
        <v>-4.974365234375E-3</v>
      </c>
      <c r="H161" s="67"/>
      <c r="I161" s="67"/>
      <c r="J161" s="67"/>
      <c r="K161" s="67"/>
      <c r="L161" s="67">
        <f>L160-L114</f>
        <v>-4.974365234375E-3</v>
      </c>
      <c r="M161" s="67"/>
      <c r="N161" s="359"/>
      <c r="O161" s="359"/>
      <c r="P161" s="359"/>
      <c r="Q161" s="359">
        <f>Q160-Q114</f>
        <v>-4.913330078125E-3</v>
      </c>
      <c r="R161" s="67"/>
      <c r="S161" s="67"/>
      <c r="T161" s="67"/>
      <c r="U161" s="67"/>
      <c r="V161" s="67" t="e">
        <f>V160-V114</f>
        <v>#REF!</v>
      </c>
      <c r="W161" s="580"/>
    </row>
    <row r="162" spans="1:23" s="49" customFormat="1" ht="25.5" hidden="1" customHeight="1" x14ac:dyDescent="0.4">
      <c r="A162" s="162"/>
      <c r="G162" s="68"/>
      <c r="H162" s="68"/>
      <c r="I162" s="68"/>
      <c r="J162" s="68"/>
      <c r="K162" s="807" t="s">
        <v>261</v>
      </c>
      <c r="L162" s="807"/>
      <c r="M162" s="68"/>
      <c r="N162" s="360"/>
      <c r="O162" s="360"/>
      <c r="P162" s="361"/>
      <c r="Q162" s="361"/>
      <c r="R162" s="68"/>
      <c r="S162" s="68"/>
      <c r="T162" s="68"/>
      <c r="W162" s="580"/>
    </row>
    <row r="163" spans="1:23" s="49" customFormat="1" ht="25.5" hidden="1" customHeight="1" x14ac:dyDescent="0.35">
      <c r="A163" s="92"/>
      <c r="G163" s="87"/>
      <c r="H163" s="87"/>
      <c r="I163" s="87"/>
      <c r="J163" s="88"/>
      <c r="K163" s="807" t="s">
        <v>262</v>
      </c>
      <c r="L163" s="807"/>
      <c r="M163" s="87"/>
      <c r="N163" s="362"/>
      <c r="O163" s="808" t="s">
        <v>263</v>
      </c>
      <c r="P163" s="808"/>
      <c r="Q163" s="808"/>
      <c r="R163" s="87"/>
      <c r="S163" s="87"/>
      <c r="T163" s="88"/>
      <c r="W163" s="580"/>
    </row>
    <row r="164" spans="1:23" s="49" customFormat="1" ht="25.5" hidden="1" customHeight="1" x14ac:dyDescent="0.35">
      <c r="A164" s="92"/>
      <c r="D164" s="69"/>
      <c r="E164" s="70" t="s">
        <v>264</v>
      </c>
      <c r="F164" s="69"/>
      <c r="G164" s="71"/>
      <c r="H164" s="72"/>
      <c r="I164" s="73"/>
      <c r="J164" s="88"/>
      <c r="K164" s="87"/>
      <c r="L164" s="88"/>
      <c r="M164" s="72"/>
      <c r="N164" s="362"/>
      <c r="O164" s="809" t="s">
        <v>265</v>
      </c>
      <c r="P164" s="809"/>
      <c r="Q164" s="809"/>
      <c r="R164" s="72"/>
      <c r="S164" s="73"/>
      <c r="T164" s="88"/>
      <c r="U164" s="87"/>
      <c r="V164" s="88"/>
      <c r="W164" s="580"/>
    </row>
    <row r="165" spans="1:23" s="49" customFormat="1" ht="33" hidden="1" customHeight="1" x14ac:dyDescent="0.4">
      <c r="A165" s="92"/>
      <c r="D165" s="74" t="s">
        <v>266</v>
      </c>
      <c r="E165" s="69" t="s">
        <v>294</v>
      </c>
      <c r="F165" s="69"/>
      <c r="G165" s="75" t="s">
        <v>267</v>
      </c>
      <c r="H165" s="72"/>
      <c r="I165" s="76"/>
      <c r="J165" s="77"/>
      <c r="K165" s="78"/>
      <c r="L165" s="77"/>
      <c r="M165" s="72"/>
      <c r="N165" s="363"/>
      <c r="O165" s="364"/>
      <c r="P165" s="365"/>
      <c r="Q165" s="364"/>
      <c r="R165" s="72"/>
      <c r="S165" s="76"/>
      <c r="T165" s="77"/>
      <c r="U165" s="78"/>
      <c r="V165" s="77"/>
      <c r="W165" s="580"/>
    </row>
    <row r="166" spans="1:23" s="49" customFormat="1" ht="15.75" hidden="1" customHeight="1" x14ac:dyDescent="0.4">
      <c r="A166" s="92"/>
      <c r="D166" s="79"/>
      <c r="E166" s="69"/>
      <c r="F166" s="69"/>
      <c r="G166" s="72"/>
      <c r="H166" s="72"/>
      <c r="I166" s="76"/>
      <c r="J166" s="77"/>
      <c r="K166" s="815"/>
      <c r="L166" s="815"/>
      <c r="M166" s="72"/>
      <c r="N166" s="363"/>
      <c r="O166" s="364"/>
      <c r="P166" s="361"/>
      <c r="Q166" s="361"/>
      <c r="R166" s="72"/>
      <c r="S166" s="76"/>
      <c r="T166" s="77"/>
      <c r="W166" s="580"/>
    </row>
    <row r="167" spans="1:23" s="49" customFormat="1" ht="30.75" hidden="1" customHeight="1" x14ac:dyDescent="0.35">
      <c r="A167" s="92"/>
      <c r="D167" s="74" t="s">
        <v>268</v>
      </c>
      <c r="E167" s="69" t="s">
        <v>295</v>
      </c>
      <c r="F167" s="69"/>
      <c r="G167" s="72"/>
      <c r="H167" s="75" t="s">
        <v>269</v>
      </c>
      <c r="I167" s="80"/>
      <c r="J167" s="68"/>
      <c r="K167" s="68" t="s">
        <v>270</v>
      </c>
      <c r="L167" s="68"/>
      <c r="M167" s="75" t="s">
        <v>269</v>
      </c>
      <c r="N167" s="360"/>
      <c r="O167" s="360"/>
      <c r="P167" s="366"/>
      <c r="Q167" s="366"/>
      <c r="R167" s="75" t="s">
        <v>269</v>
      </c>
      <c r="S167" s="80"/>
      <c r="T167" s="68"/>
      <c r="U167" s="68" t="s">
        <v>270</v>
      </c>
      <c r="V167" s="68"/>
      <c r="W167" s="580"/>
    </row>
    <row r="168" spans="1:23" ht="16.5" hidden="1" customHeight="1" x14ac:dyDescent="0.4">
      <c r="D168" s="79"/>
      <c r="E168" s="69"/>
      <c r="F168" s="69"/>
      <c r="G168" s="72"/>
      <c r="H168" s="72"/>
      <c r="I168" s="81"/>
      <c r="M168" s="72"/>
      <c r="N168" s="367"/>
      <c r="O168" s="368"/>
      <c r="P168" s="363" t="s">
        <v>270</v>
      </c>
      <c r="Q168" s="368"/>
      <c r="R168" s="72"/>
      <c r="S168" s="81"/>
    </row>
    <row r="169" spans="1:23" ht="30.75" hidden="1" customHeight="1" x14ac:dyDescent="0.4">
      <c r="D169" s="74" t="s">
        <v>271</v>
      </c>
      <c r="E169" s="69" t="s">
        <v>296</v>
      </c>
      <c r="F169" s="69"/>
      <c r="G169" s="75" t="s">
        <v>272</v>
      </c>
      <c r="H169" s="72"/>
      <c r="I169" s="81"/>
      <c r="M169" s="72"/>
      <c r="N169" s="367"/>
      <c r="O169" s="368"/>
      <c r="P169" s="369"/>
      <c r="Q169" s="368"/>
      <c r="R169" s="72"/>
      <c r="S169" s="81"/>
    </row>
    <row r="170" spans="1:23" ht="16.5" hidden="1" customHeight="1" x14ac:dyDescent="0.4">
      <c r="D170" s="79"/>
      <c r="E170" s="69"/>
      <c r="F170" s="69"/>
      <c r="G170" s="72"/>
      <c r="H170" s="72"/>
      <c r="I170" s="81"/>
      <c r="M170" s="72"/>
      <c r="N170" s="367"/>
      <c r="O170" s="368"/>
      <c r="P170" s="369"/>
      <c r="Q170" s="368"/>
      <c r="R170" s="72"/>
      <c r="S170" s="81"/>
    </row>
    <row r="171" spans="1:23" ht="31.5" hidden="1" customHeight="1" x14ac:dyDescent="0.4">
      <c r="D171" s="74" t="s">
        <v>273</v>
      </c>
      <c r="E171" s="69" t="s">
        <v>297</v>
      </c>
      <c r="F171" s="69"/>
      <c r="G171" s="72"/>
      <c r="H171" s="75" t="s">
        <v>274</v>
      </c>
      <c r="I171" s="81"/>
      <c r="M171" s="75" t="s">
        <v>274</v>
      </c>
      <c r="N171" s="367"/>
      <c r="O171" s="368"/>
      <c r="P171" s="369"/>
      <c r="Q171" s="368"/>
      <c r="R171" s="75" t="s">
        <v>274</v>
      </c>
      <c r="S171" s="81"/>
    </row>
    <row r="172" spans="1:23" ht="26.25" x14ac:dyDescent="0.4">
      <c r="G172" s="567">
        <f>'[8]NERACA KOMPILASI OK'!$BM$155</f>
        <v>259697687197.32001</v>
      </c>
      <c r="L172" s="570"/>
      <c r="N172" s="369"/>
      <c r="O172" s="368"/>
      <c r="P172" s="370"/>
      <c r="Q172" s="368"/>
    </row>
    <row r="173" spans="1:23" ht="26.25" customHeight="1" x14ac:dyDescent="0.25">
      <c r="F173" s="568"/>
      <c r="G173" s="569">
        <f>+G160-G172</f>
        <v>0</v>
      </c>
      <c r="H173" s="568"/>
      <c r="I173" s="568"/>
      <c r="J173" s="568"/>
      <c r="K173" s="568"/>
      <c r="L173" s="568"/>
      <c r="M173" s="568"/>
      <c r="N173" s="568"/>
      <c r="O173" s="568"/>
      <c r="P173" s="568"/>
      <c r="Q173" s="568"/>
      <c r="R173" s="568"/>
    </row>
    <row r="174" spans="1:23" ht="26.25" customHeight="1" x14ac:dyDescent="0.25">
      <c r="F174" s="811"/>
      <c r="G174" s="811"/>
      <c r="H174" s="811"/>
      <c r="I174" s="811"/>
      <c r="J174" s="811"/>
      <c r="K174" s="811"/>
      <c r="L174" s="811"/>
      <c r="M174" s="811"/>
      <c r="N174" s="811"/>
      <c r="O174" s="811"/>
      <c r="P174" s="811"/>
      <c r="Q174" s="811"/>
      <c r="R174" s="811"/>
    </row>
    <row r="175" spans="1:23" ht="26.25" customHeight="1" x14ac:dyDescent="0.25">
      <c r="F175" s="385"/>
      <c r="G175" s="385"/>
      <c r="H175" s="385"/>
      <c r="I175" s="385"/>
      <c r="J175" s="385"/>
      <c r="K175" s="385"/>
      <c r="L175" s="385"/>
      <c r="M175" s="385"/>
      <c r="N175" s="385"/>
      <c r="O175" s="385"/>
      <c r="P175" s="385"/>
      <c r="Q175" s="385"/>
      <c r="R175" s="385"/>
    </row>
    <row r="176" spans="1:23" ht="25.5" x14ac:dyDescent="0.35">
      <c r="L176" s="33"/>
      <c r="M176" s="33"/>
      <c r="N176" s="371"/>
      <c r="O176" s="371"/>
      <c r="P176" s="377"/>
      <c r="Q176" s="377"/>
      <c r="R176" s="378"/>
    </row>
    <row r="177" spans="6:18" ht="25.5" x14ac:dyDescent="0.35">
      <c r="L177" s="33"/>
      <c r="M177" s="33"/>
      <c r="N177" s="371"/>
      <c r="O177" s="371"/>
      <c r="P177" s="377"/>
      <c r="Q177" s="377"/>
      <c r="R177" s="378"/>
    </row>
    <row r="178" spans="6:18" ht="26.25" customHeight="1" x14ac:dyDescent="0.25">
      <c r="F178" s="812"/>
      <c r="G178" s="812"/>
      <c r="H178" s="812"/>
      <c r="I178" s="812"/>
      <c r="J178" s="812"/>
      <c r="K178" s="812"/>
      <c r="L178" s="812"/>
      <c r="M178" s="812"/>
      <c r="N178" s="812"/>
      <c r="O178" s="812"/>
      <c r="P178" s="812"/>
      <c r="Q178" s="812"/>
      <c r="R178" s="812"/>
    </row>
    <row r="179" spans="6:18" ht="26.25" customHeight="1" x14ac:dyDescent="0.25">
      <c r="F179" s="810"/>
      <c r="G179" s="810"/>
      <c r="H179" s="810"/>
      <c r="I179" s="810"/>
      <c r="J179" s="810"/>
      <c r="K179" s="810"/>
      <c r="L179" s="810"/>
      <c r="M179" s="810"/>
      <c r="N179" s="810"/>
      <c r="O179" s="810"/>
      <c r="P179" s="810"/>
      <c r="Q179" s="810"/>
      <c r="R179" s="386"/>
    </row>
    <row r="180" spans="6:18" ht="25.5" customHeight="1" x14ac:dyDescent="0.25">
      <c r="F180" s="810"/>
      <c r="G180" s="810"/>
      <c r="H180" s="810"/>
      <c r="I180" s="810"/>
      <c r="J180" s="810"/>
      <c r="K180" s="810"/>
      <c r="L180" s="810"/>
      <c r="M180" s="810"/>
      <c r="N180" s="810"/>
      <c r="O180" s="810"/>
      <c r="P180" s="810"/>
      <c r="Q180" s="810"/>
      <c r="R180" s="810"/>
    </row>
    <row r="181" spans="6:18" ht="21" x14ac:dyDescent="0.35">
      <c r="L181" s="215"/>
      <c r="M181" s="17"/>
      <c r="N181" s="17"/>
      <c r="O181" s="215"/>
      <c r="P181" s="17"/>
      <c r="Q181" s="215"/>
    </row>
    <row r="182" spans="6:18" ht="21" x14ac:dyDescent="0.35">
      <c r="L182" s="215"/>
      <c r="M182" s="17"/>
      <c r="N182" s="17"/>
      <c r="O182" s="215"/>
      <c r="P182" s="17"/>
      <c r="Q182" s="215"/>
    </row>
    <row r="183" spans="6:18" ht="21" x14ac:dyDescent="0.35">
      <c r="L183" s="816"/>
      <c r="M183" s="816"/>
      <c r="N183" s="816"/>
      <c r="O183" s="816"/>
      <c r="P183" s="816"/>
      <c r="Q183" s="816"/>
    </row>
    <row r="184" spans="6:18" ht="21" x14ac:dyDescent="0.35">
      <c r="L184" s="805"/>
      <c r="M184" s="805"/>
      <c r="N184" s="805"/>
      <c r="O184" s="805"/>
      <c r="P184" s="805"/>
      <c r="Q184" s="805"/>
    </row>
    <row r="185" spans="6:18" ht="21" x14ac:dyDescent="0.35">
      <c r="L185" s="213"/>
      <c r="M185" s="214"/>
      <c r="N185" s="214"/>
      <c r="O185" s="213"/>
      <c r="P185" s="214"/>
      <c r="Q185" s="213"/>
    </row>
    <row r="186" spans="6:18" ht="21" x14ac:dyDescent="0.35">
      <c r="L186" s="213"/>
      <c r="M186" s="214"/>
      <c r="N186" s="214"/>
      <c r="O186" s="213"/>
      <c r="P186" s="214"/>
      <c r="Q186" s="213"/>
    </row>
    <row r="187" spans="6:18" ht="21" x14ac:dyDescent="0.35">
      <c r="L187" s="213"/>
      <c r="M187" s="214"/>
      <c r="N187" s="214"/>
      <c r="O187" s="213"/>
      <c r="P187" s="214"/>
      <c r="Q187" s="213"/>
    </row>
  </sheetData>
  <sheetProtection algorithmName="SHA-512" hashValue="gMiiieCazyT02a5bStvxwCSSSRGq3MF9FUZRoIDYt9e8B8ebdTZExH4GNT7c8wUCIlhlt44EsNqF4mJBbJN5Xw==" saltValue="NI5X5URZ4bKdzSSeZXwtsg==" spinCount="100000" sheet="1" objects="1" scenarios="1"/>
  <mergeCells count="34">
    <mergeCell ref="E152:F152"/>
    <mergeCell ref="E160:F160"/>
    <mergeCell ref="K166:L166"/>
    <mergeCell ref="K162:L162"/>
    <mergeCell ref="L183:Q183"/>
    <mergeCell ref="L184:Q184"/>
    <mergeCell ref="E161:F161"/>
    <mergeCell ref="K163:L163"/>
    <mergeCell ref="O163:Q163"/>
    <mergeCell ref="O164:Q164"/>
    <mergeCell ref="F180:R180"/>
    <mergeCell ref="F179:Q179"/>
    <mergeCell ref="F174:R174"/>
    <mergeCell ref="F178:R178"/>
    <mergeCell ref="B13:F13"/>
    <mergeCell ref="R11:U11"/>
    <mergeCell ref="E114:F114"/>
    <mergeCell ref="E131:F131"/>
    <mergeCell ref="E148:F148"/>
    <mergeCell ref="E137:F137"/>
    <mergeCell ref="E139:F139"/>
    <mergeCell ref="E112:F112"/>
    <mergeCell ref="E49:F49"/>
    <mergeCell ref="E97:F97"/>
    <mergeCell ref="E101:F101"/>
    <mergeCell ref="E40:F40"/>
    <mergeCell ref="A11:A12"/>
    <mergeCell ref="B11:F12"/>
    <mergeCell ref="H11:K11"/>
    <mergeCell ref="M11:P11"/>
    <mergeCell ref="C5:L5"/>
    <mergeCell ref="B6:V6"/>
    <mergeCell ref="B7:V7"/>
    <mergeCell ref="B8:V8"/>
  </mergeCells>
  <printOptions horizontalCentered="1"/>
  <pageMargins left="0.39370078740157483" right="0.39370078740157483" top="0.78740157480314965" bottom="0.39370078740157483" header="0.23622047244094491" footer="0.23622047244094491"/>
  <pageSetup paperSize="10000" scale="45" orientation="landscape" useFirstPageNumber="1" horizontalDpi="200" verticalDpi="200" r:id="rId1"/>
  <headerFooter>
    <oddFooter>&amp;R&amp;22&amp;P</oddFooter>
  </headerFooter>
  <colBreaks count="1" manualBreakCount="1">
    <brk id="17" min="5" max="15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2:F82"/>
  <sheetViews>
    <sheetView view="pageBreakPreview" zoomScale="55" zoomScaleNormal="70" zoomScaleSheetLayoutView="55" workbookViewId="0">
      <pane xSplit="3" ySplit="8" topLeftCell="D42" activePane="bottomRight" state="frozen"/>
      <selection pane="topRight" activeCell="D1" sqref="D1"/>
      <selection pane="bottomLeft" activeCell="A9" sqref="A9"/>
      <selection pane="bottomRight" activeCell="J9" sqref="J9"/>
    </sheetView>
  </sheetViews>
  <sheetFormatPr defaultColWidth="9.140625" defaultRowHeight="15" x14ac:dyDescent="0.3"/>
  <cols>
    <col min="1" max="1" width="7.140625" style="35" bestFit="1" customWidth="1"/>
    <col min="2" max="2" width="4.140625" style="165" customWidth="1"/>
    <col min="3" max="3" width="78.28515625" style="33" customWidth="1"/>
    <col min="4" max="5" width="26.140625" style="33" customWidth="1"/>
    <col min="6" max="16384" width="9.140625" style="33"/>
  </cols>
  <sheetData>
    <row r="2" spans="1:5" s="171" customFormat="1" ht="18" x14ac:dyDescent="0.25">
      <c r="A2" s="820" t="s">
        <v>127</v>
      </c>
      <c r="B2" s="820"/>
      <c r="C2" s="820"/>
      <c r="D2" s="820"/>
      <c r="E2" s="820"/>
    </row>
    <row r="3" spans="1:5" s="171" customFormat="1" ht="18" x14ac:dyDescent="0.25">
      <c r="A3" s="820" t="s">
        <v>1153</v>
      </c>
      <c r="B3" s="820"/>
      <c r="C3" s="820"/>
      <c r="D3" s="820"/>
      <c r="E3" s="820"/>
    </row>
    <row r="4" spans="1:5" s="171" customFormat="1" ht="18" x14ac:dyDescent="0.25">
      <c r="A4" s="820" t="s">
        <v>856</v>
      </c>
      <c r="B4" s="820"/>
      <c r="C4" s="820"/>
      <c r="D4" s="820"/>
      <c r="E4" s="820"/>
    </row>
    <row r="5" spans="1:5" ht="15.75" thickBot="1" x14ac:dyDescent="0.35">
      <c r="C5" s="34"/>
      <c r="D5" s="36"/>
      <c r="E5" s="36"/>
    </row>
    <row r="6" spans="1:5" s="170" customFormat="1" x14ac:dyDescent="0.25">
      <c r="A6" s="821" t="s">
        <v>22</v>
      </c>
      <c r="B6" s="824" t="s">
        <v>23</v>
      </c>
      <c r="C6" s="825"/>
      <c r="D6" s="821">
        <v>2017</v>
      </c>
      <c r="E6" s="821">
        <v>2016</v>
      </c>
    </row>
    <row r="7" spans="1:5" s="170" customFormat="1" x14ac:dyDescent="0.25">
      <c r="A7" s="822"/>
      <c r="B7" s="826"/>
      <c r="C7" s="827"/>
      <c r="D7" s="822"/>
      <c r="E7" s="822"/>
    </row>
    <row r="8" spans="1:5" s="170" customFormat="1" ht="15.75" thickBot="1" x14ac:dyDescent="0.3">
      <c r="A8" s="823"/>
      <c r="B8" s="828"/>
      <c r="C8" s="829"/>
      <c r="D8" s="823"/>
      <c r="E8" s="823"/>
    </row>
    <row r="9" spans="1:5" s="189" customFormat="1" ht="17.25" customHeight="1" x14ac:dyDescent="0.25">
      <c r="A9" s="192">
        <v>1</v>
      </c>
      <c r="B9" s="191" t="s">
        <v>467</v>
      </c>
      <c r="C9" s="190"/>
      <c r="D9" s="167">
        <f>E73</f>
        <v>259697687197.32159</v>
      </c>
      <c r="E9" s="486">
        <v>260464125854.82828</v>
      </c>
    </row>
    <row r="10" spans="1:5" s="184" customFormat="1" ht="17.25" customHeight="1" x14ac:dyDescent="0.2">
      <c r="A10" s="187">
        <v>2</v>
      </c>
      <c r="B10" s="188" t="s">
        <v>466</v>
      </c>
      <c r="C10" s="185"/>
      <c r="D10" s="169">
        <f>+LO!G98</f>
        <v>-190027831310.90332</v>
      </c>
      <c r="E10" s="487">
        <v>-257281713541.50668</v>
      </c>
    </row>
    <row r="11" spans="1:5" s="184" customFormat="1" ht="17.25" customHeight="1" x14ac:dyDescent="0.2">
      <c r="A11" s="187">
        <v>3</v>
      </c>
      <c r="B11" s="186" t="s">
        <v>465</v>
      </c>
      <c r="C11" s="185"/>
      <c r="D11" s="169">
        <f>-'LRA STLH KONVERSI (RINCI)'!E152</f>
        <v>182086298397</v>
      </c>
      <c r="E11" s="487">
        <v>256671561084</v>
      </c>
    </row>
    <row r="12" spans="1:5" s="168" customFormat="1" ht="17.25" customHeight="1" x14ac:dyDescent="0.2">
      <c r="A12" s="180">
        <v>4</v>
      </c>
      <c r="B12" s="183" t="s">
        <v>464</v>
      </c>
      <c r="C12" s="178"/>
      <c r="D12" s="177">
        <f>D13+D22+D29+D32+D35+D41+D52+D55+D64+D70+D67</f>
        <v>-5156471363.8099957</v>
      </c>
      <c r="E12" s="177">
        <v>-156286200</v>
      </c>
    </row>
    <row r="13" spans="1:5" s="168" customFormat="1" ht="17.25" customHeight="1" x14ac:dyDescent="0.2">
      <c r="A13" s="180" t="s">
        <v>405</v>
      </c>
      <c r="B13" s="182"/>
      <c r="C13" s="178" t="s">
        <v>463</v>
      </c>
      <c r="D13" s="177">
        <f>SUM(D14:D21)</f>
        <v>8582</v>
      </c>
      <c r="E13" s="177">
        <v>-3850000</v>
      </c>
    </row>
    <row r="14" spans="1:5" s="168" customFormat="1" ht="17.25" customHeight="1" x14ac:dyDescent="0.2">
      <c r="A14" s="180"/>
      <c r="B14" s="181" t="s">
        <v>417</v>
      </c>
      <c r="C14" s="178" t="s">
        <v>462</v>
      </c>
      <c r="D14" s="177">
        <f>+NERACA!N18</f>
        <v>8582</v>
      </c>
      <c r="E14" s="177">
        <v>0</v>
      </c>
    </row>
    <row r="15" spans="1:5" s="168" customFormat="1" ht="17.25" customHeight="1" x14ac:dyDescent="0.2">
      <c r="A15" s="180"/>
      <c r="B15" s="181" t="s">
        <v>417</v>
      </c>
      <c r="C15" s="178" t="s">
        <v>461</v>
      </c>
      <c r="D15" s="177">
        <f>NERACA!N19</f>
        <v>0</v>
      </c>
      <c r="E15" s="177"/>
    </row>
    <row r="16" spans="1:5" s="168" customFormat="1" ht="17.25" customHeight="1" x14ac:dyDescent="0.2">
      <c r="A16" s="180"/>
      <c r="B16" s="181" t="s">
        <v>417</v>
      </c>
      <c r="C16" s="178" t="s">
        <v>460</v>
      </c>
      <c r="D16" s="177">
        <f>NERACA!N20</f>
        <v>0</v>
      </c>
      <c r="E16" s="177">
        <v>0</v>
      </c>
    </row>
    <row r="17" spans="1:5" s="168" customFormat="1" ht="17.25" customHeight="1" x14ac:dyDescent="0.2">
      <c r="A17" s="180"/>
      <c r="B17" s="181" t="s">
        <v>417</v>
      </c>
      <c r="C17" s="178" t="s">
        <v>459</v>
      </c>
      <c r="D17" s="177"/>
      <c r="E17" s="177"/>
    </row>
    <row r="18" spans="1:5" s="168" customFormat="1" ht="17.25" customHeight="1" x14ac:dyDescent="0.2">
      <c r="A18" s="180"/>
      <c r="B18" s="181" t="s">
        <v>417</v>
      </c>
      <c r="C18" s="178" t="s">
        <v>458</v>
      </c>
      <c r="D18" s="177">
        <f>NERACA!P18</f>
        <v>0</v>
      </c>
      <c r="E18" s="177"/>
    </row>
    <row r="19" spans="1:5" s="168" customFormat="1" ht="17.25" customHeight="1" x14ac:dyDescent="0.2">
      <c r="A19" s="180"/>
      <c r="B19" s="181" t="s">
        <v>417</v>
      </c>
      <c r="C19" s="178" t="s">
        <v>457</v>
      </c>
      <c r="D19" s="177">
        <f>-NERACA!P19</f>
        <v>0</v>
      </c>
      <c r="E19" s="177">
        <v>-3850000</v>
      </c>
    </row>
    <row r="20" spans="1:5" s="168" customFormat="1" ht="17.25" customHeight="1" x14ac:dyDescent="0.2">
      <c r="A20" s="180"/>
      <c r="B20" s="181" t="s">
        <v>417</v>
      </c>
      <c r="C20" s="178" t="s">
        <v>456</v>
      </c>
      <c r="D20" s="177">
        <f>-NERACA!P20</f>
        <v>0</v>
      </c>
      <c r="E20" s="177">
        <v>0</v>
      </c>
    </row>
    <row r="21" spans="1:5" s="168" customFormat="1" ht="17.25" customHeight="1" x14ac:dyDescent="0.2">
      <c r="A21" s="180"/>
      <c r="B21" s="181" t="s">
        <v>417</v>
      </c>
      <c r="C21" s="178" t="s">
        <v>455</v>
      </c>
      <c r="D21" s="177"/>
      <c r="E21" s="177"/>
    </row>
    <row r="22" spans="1:5" s="168" customFormat="1" ht="17.25" customHeight="1" x14ac:dyDescent="0.2">
      <c r="A22" s="180" t="s">
        <v>404</v>
      </c>
      <c r="B22" s="182"/>
      <c r="C22" s="178" t="s">
        <v>454</v>
      </c>
      <c r="D22" s="177">
        <f>SUM(D23:D28)</f>
        <v>0</v>
      </c>
      <c r="E22" s="177">
        <v>0</v>
      </c>
    </row>
    <row r="23" spans="1:5" s="168" customFormat="1" ht="17.25" customHeight="1" x14ac:dyDescent="0.2">
      <c r="A23" s="180"/>
      <c r="B23" s="181" t="s">
        <v>417</v>
      </c>
      <c r="C23" s="178" t="s">
        <v>453</v>
      </c>
      <c r="D23" s="177"/>
      <c r="E23" s="177"/>
    </row>
    <row r="24" spans="1:5" s="168" customFormat="1" ht="17.25" customHeight="1" x14ac:dyDescent="0.2">
      <c r="A24" s="180"/>
      <c r="B24" s="181" t="s">
        <v>417</v>
      </c>
      <c r="C24" s="178" t="s">
        <v>452</v>
      </c>
      <c r="D24" s="177"/>
      <c r="E24" s="177"/>
    </row>
    <row r="25" spans="1:5" s="168" customFormat="1" ht="17.25" customHeight="1" x14ac:dyDescent="0.2">
      <c r="A25" s="180"/>
      <c r="B25" s="181" t="s">
        <v>417</v>
      </c>
      <c r="C25" s="178" t="s">
        <v>451</v>
      </c>
      <c r="D25" s="177"/>
      <c r="E25" s="177"/>
    </row>
    <row r="26" spans="1:5" s="168" customFormat="1" ht="17.25" customHeight="1" x14ac:dyDescent="0.2">
      <c r="A26" s="180"/>
      <c r="B26" s="181" t="s">
        <v>417</v>
      </c>
      <c r="C26" s="178" t="s">
        <v>450</v>
      </c>
      <c r="D26" s="177">
        <f>+-NERACA!K25</f>
        <v>0</v>
      </c>
      <c r="E26" s="177">
        <v>0</v>
      </c>
    </row>
    <row r="27" spans="1:5" s="168" customFormat="1" ht="17.25" customHeight="1" x14ac:dyDescent="0.2">
      <c r="A27" s="180"/>
      <c r="B27" s="181" t="s">
        <v>417</v>
      </c>
      <c r="C27" s="178" t="s">
        <v>449</v>
      </c>
      <c r="D27" s="177"/>
      <c r="E27" s="177"/>
    </row>
    <row r="28" spans="1:5" s="168" customFormat="1" ht="17.25" customHeight="1" x14ac:dyDescent="0.2">
      <c r="A28" s="180"/>
      <c r="B28" s="181" t="s">
        <v>417</v>
      </c>
      <c r="C28" s="178" t="s">
        <v>448</v>
      </c>
      <c r="D28" s="177"/>
      <c r="E28" s="177"/>
    </row>
    <row r="29" spans="1:5" s="168" customFormat="1" ht="17.25" customHeight="1" x14ac:dyDescent="0.2">
      <c r="A29" s="180" t="s">
        <v>403</v>
      </c>
      <c r="B29" s="182"/>
      <c r="C29" s="178" t="s">
        <v>447</v>
      </c>
      <c r="D29" s="177">
        <f>SUM(D30:D31)</f>
        <v>0</v>
      </c>
      <c r="E29" s="177">
        <v>0</v>
      </c>
    </row>
    <row r="30" spans="1:5" s="168" customFormat="1" ht="17.25" customHeight="1" x14ac:dyDescent="0.2">
      <c r="A30" s="180"/>
      <c r="B30" s="181" t="s">
        <v>417</v>
      </c>
      <c r="C30" s="178" t="s">
        <v>444</v>
      </c>
      <c r="D30" s="177"/>
      <c r="E30" s="177"/>
    </row>
    <row r="31" spans="1:5" s="168" customFormat="1" ht="17.25" customHeight="1" x14ac:dyDescent="0.2">
      <c r="A31" s="180"/>
      <c r="B31" s="181" t="s">
        <v>417</v>
      </c>
      <c r="C31" s="178" t="s">
        <v>443</v>
      </c>
      <c r="D31" s="177">
        <f>-NERACA!K28</f>
        <v>0</v>
      </c>
      <c r="E31" s="177">
        <v>0</v>
      </c>
    </row>
    <row r="32" spans="1:5" s="168" customFormat="1" ht="17.25" customHeight="1" x14ac:dyDescent="0.2">
      <c r="A32" s="180" t="s">
        <v>446</v>
      </c>
      <c r="B32" s="182"/>
      <c r="C32" s="178" t="s">
        <v>445</v>
      </c>
      <c r="D32" s="177">
        <f>SUM(D33:D34)</f>
        <v>0</v>
      </c>
      <c r="E32" s="177">
        <v>0</v>
      </c>
    </row>
    <row r="33" spans="1:5" s="168" customFormat="1" ht="17.25" customHeight="1" x14ac:dyDescent="0.2">
      <c r="A33" s="180"/>
      <c r="B33" s="181" t="s">
        <v>417</v>
      </c>
      <c r="C33" s="178" t="s">
        <v>841</v>
      </c>
      <c r="D33" s="177"/>
      <c r="E33" s="177"/>
    </row>
    <row r="34" spans="1:5" s="168" customFormat="1" ht="17.25" customHeight="1" x14ac:dyDescent="0.2">
      <c r="A34" s="180"/>
      <c r="B34" s="181" t="s">
        <v>417</v>
      </c>
      <c r="C34" s="178" t="s">
        <v>842</v>
      </c>
      <c r="D34" s="177"/>
      <c r="E34" s="177"/>
    </row>
    <row r="35" spans="1:5" s="168" customFormat="1" ht="17.25" customHeight="1" x14ac:dyDescent="0.2">
      <c r="A35" s="180" t="s">
        <v>442</v>
      </c>
      <c r="B35" s="182"/>
      <c r="C35" s="178" t="s">
        <v>441</v>
      </c>
      <c r="D35" s="177">
        <f>SUM(D36:D37)</f>
        <v>0</v>
      </c>
      <c r="E35" s="177">
        <v>0</v>
      </c>
    </row>
    <row r="36" spans="1:5" s="168" customFormat="1" ht="17.25" customHeight="1" x14ac:dyDescent="0.2">
      <c r="A36" s="180"/>
      <c r="B36" s="181" t="s">
        <v>417</v>
      </c>
      <c r="C36" s="178" t="s">
        <v>440</v>
      </c>
      <c r="D36" s="177"/>
      <c r="E36" s="177"/>
    </row>
    <row r="37" spans="1:5" s="168" customFormat="1" ht="17.25" customHeight="1" x14ac:dyDescent="0.2">
      <c r="A37" s="180"/>
      <c r="B37" s="181" t="s">
        <v>417</v>
      </c>
      <c r="C37" s="178" t="s">
        <v>439</v>
      </c>
      <c r="D37" s="177"/>
      <c r="E37" s="177"/>
    </row>
    <row r="38" spans="1:5" s="168" customFormat="1" ht="17.25" customHeight="1" x14ac:dyDescent="0.2">
      <c r="A38" s="180" t="s">
        <v>438</v>
      </c>
      <c r="B38" s="479"/>
      <c r="C38" s="480" t="s">
        <v>836</v>
      </c>
      <c r="D38" s="177"/>
      <c r="E38" s="177"/>
    </row>
    <row r="39" spans="1:5" s="168" customFormat="1" ht="17.25" customHeight="1" x14ac:dyDescent="0.2">
      <c r="A39" s="180"/>
      <c r="B39" s="481" t="s">
        <v>417</v>
      </c>
      <c r="C39" s="480" t="s">
        <v>837</v>
      </c>
      <c r="D39" s="177"/>
      <c r="E39" s="177"/>
    </row>
    <row r="40" spans="1:5" s="168" customFormat="1" ht="17.25" customHeight="1" x14ac:dyDescent="0.2">
      <c r="A40" s="180"/>
      <c r="B40" s="481" t="s">
        <v>417</v>
      </c>
      <c r="C40" s="480" t="s">
        <v>838</v>
      </c>
      <c r="D40" s="177"/>
      <c r="E40" s="177"/>
    </row>
    <row r="41" spans="1:5" s="166" customFormat="1" ht="17.25" customHeight="1" x14ac:dyDescent="0.25">
      <c r="A41" s="571" t="s">
        <v>426</v>
      </c>
      <c r="B41" s="575"/>
      <c r="C41" s="573" t="s">
        <v>437</v>
      </c>
      <c r="D41" s="574">
        <f>SUM(D42:D51)</f>
        <v>-19455978491</v>
      </c>
      <c r="E41" s="574">
        <v>-265044400</v>
      </c>
    </row>
    <row r="42" spans="1:5" s="168" customFormat="1" ht="17.25" customHeight="1" x14ac:dyDescent="0.2">
      <c r="A42" s="180"/>
      <c r="B42" s="181" t="s">
        <v>417</v>
      </c>
      <c r="C42" s="178" t="s">
        <v>436</v>
      </c>
      <c r="D42" s="177">
        <f>'ASET TETAP'!H42</f>
        <v>0</v>
      </c>
      <c r="E42" s="177">
        <v>0</v>
      </c>
    </row>
    <row r="43" spans="1:5" s="168" customFormat="1" ht="17.25" customHeight="1" x14ac:dyDescent="0.2">
      <c r="A43" s="180"/>
      <c r="B43" s="181" t="s">
        <v>417</v>
      </c>
      <c r="C43" s="178" t="s">
        <v>435</v>
      </c>
      <c r="D43" s="177">
        <f>'ASET TETAP'!L42</f>
        <v>8888329215</v>
      </c>
      <c r="E43" s="177">
        <v>4599634811</v>
      </c>
    </row>
    <row r="44" spans="1:5" s="168" customFormat="1" ht="17.25" customHeight="1" x14ac:dyDescent="0.2">
      <c r="A44" s="180"/>
      <c r="B44" s="181" t="s">
        <v>417</v>
      </c>
      <c r="C44" s="178" t="s">
        <v>434</v>
      </c>
      <c r="D44" s="177">
        <f>'ASET TETAP'!N42</f>
        <v>0</v>
      </c>
      <c r="E44" s="177"/>
    </row>
    <row r="45" spans="1:5" s="168" customFormat="1" ht="17.25" customHeight="1" x14ac:dyDescent="0.2">
      <c r="A45" s="180"/>
      <c r="B45" s="181" t="s">
        <v>417</v>
      </c>
      <c r="C45" s="178" t="s">
        <v>433</v>
      </c>
      <c r="D45" s="177">
        <f>'ASET TETAP'!P42</f>
        <v>0</v>
      </c>
      <c r="E45" s="177">
        <v>0</v>
      </c>
    </row>
    <row r="46" spans="1:5" s="168" customFormat="1" ht="17.25" customHeight="1" x14ac:dyDescent="0.2">
      <c r="A46" s="180"/>
      <c r="B46" s="181" t="s">
        <v>417</v>
      </c>
      <c r="C46" s="178" t="s">
        <v>432</v>
      </c>
      <c r="D46" s="177">
        <f>'ASET TETAP'!R42</f>
        <v>0</v>
      </c>
      <c r="E46" s="177">
        <v>0</v>
      </c>
    </row>
    <row r="47" spans="1:5" s="168" customFormat="1" ht="17.25" customHeight="1" x14ac:dyDescent="0.2">
      <c r="A47" s="180"/>
      <c r="B47" s="181" t="s">
        <v>417</v>
      </c>
      <c r="C47" s="178" t="s">
        <v>431</v>
      </c>
      <c r="D47" s="177">
        <f>-'ASET TETAP'!X42</f>
        <v>-48412697</v>
      </c>
      <c r="E47" s="177">
        <v>-1994400</v>
      </c>
    </row>
    <row r="48" spans="1:5" s="168" customFormat="1" ht="17.25" customHeight="1" x14ac:dyDescent="0.2">
      <c r="A48" s="180"/>
      <c r="B48" s="181" t="s">
        <v>417</v>
      </c>
      <c r="C48" s="178" t="s">
        <v>428</v>
      </c>
      <c r="D48" s="177">
        <f>-'ASET TETAP'!Z42</f>
        <v>-27546595009</v>
      </c>
      <c r="E48" s="177">
        <v>-4862684811</v>
      </c>
    </row>
    <row r="49" spans="1:5" s="168" customFormat="1" ht="17.25" customHeight="1" x14ac:dyDescent="0.2">
      <c r="A49" s="180"/>
      <c r="B49" s="181" t="s">
        <v>417</v>
      </c>
      <c r="C49" s="178" t="s">
        <v>430</v>
      </c>
      <c r="D49" s="177">
        <f>-'ASET TETAP'!AB42</f>
        <v>0</v>
      </c>
      <c r="E49" s="177"/>
    </row>
    <row r="50" spans="1:5" s="168" customFormat="1" ht="17.25" customHeight="1" x14ac:dyDescent="0.2">
      <c r="A50" s="180"/>
      <c r="B50" s="181" t="s">
        <v>417</v>
      </c>
      <c r="C50" s="178" t="s">
        <v>429</v>
      </c>
      <c r="D50" s="177">
        <f>-'ASET TETAP'!AD42</f>
        <v>0</v>
      </c>
      <c r="E50" s="177"/>
    </row>
    <row r="51" spans="1:5" s="168" customFormat="1" ht="17.25" customHeight="1" x14ac:dyDescent="0.2">
      <c r="A51" s="180"/>
      <c r="B51" s="181" t="s">
        <v>417</v>
      </c>
      <c r="C51" s="178" t="s">
        <v>427</v>
      </c>
      <c r="D51" s="177">
        <f>-'ASET TETAP'!AF42</f>
        <v>-749300000</v>
      </c>
      <c r="E51" s="177">
        <v>0</v>
      </c>
    </row>
    <row r="52" spans="1:5" s="166" customFormat="1" ht="17.25" customHeight="1" x14ac:dyDescent="0.25">
      <c r="A52" s="571" t="s">
        <v>422</v>
      </c>
      <c r="B52" s="572"/>
      <c r="C52" s="573" t="s">
        <v>425</v>
      </c>
      <c r="D52" s="574">
        <f>SUM(D53:D54)</f>
        <v>14412106745.190004</v>
      </c>
      <c r="E52" s="574">
        <v>0</v>
      </c>
    </row>
    <row r="53" spans="1:5" s="168" customFormat="1" ht="17.25" customHeight="1" x14ac:dyDescent="0.2">
      <c r="A53" s="180"/>
      <c r="B53" s="181" t="s">
        <v>417</v>
      </c>
      <c r="C53" s="178" t="s">
        <v>424</v>
      </c>
      <c r="D53" s="177">
        <f>-('SUSUT &amp; AMOR'!E24+'SUSUT &amp; AMOR'!H24)</f>
        <v>-2709810299.0499954</v>
      </c>
      <c r="E53" s="177"/>
    </row>
    <row r="54" spans="1:5" s="168" customFormat="1" ht="17.25" customHeight="1" x14ac:dyDescent="0.2">
      <c r="A54" s="180"/>
      <c r="B54" s="181" t="s">
        <v>417</v>
      </c>
      <c r="C54" s="178" t="s">
        <v>423</v>
      </c>
      <c r="D54" s="177">
        <f>'SUSUT &amp; AMOR'!F24+'SUSUT &amp; AMOR'!I24</f>
        <v>17121917044.24</v>
      </c>
      <c r="E54" s="177"/>
    </row>
    <row r="55" spans="1:5" s="166" customFormat="1" ht="17.25" customHeight="1" x14ac:dyDescent="0.25">
      <c r="A55" s="571" t="s">
        <v>420</v>
      </c>
      <c r="B55" s="575"/>
      <c r="C55" s="573" t="s">
        <v>421</v>
      </c>
      <c r="D55" s="574">
        <f>SUM(D56:D63)</f>
        <v>-7936839790</v>
      </c>
      <c r="E55" s="574">
        <v>0</v>
      </c>
    </row>
    <row r="56" spans="1:5" s="168" customFormat="1" ht="17.25" customHeight="1" x14ac:dyDescent="0.2">
      <c r="A56" s="180"/>
      <c r="B56" s="181" t="s">
        <v>417</v>
      </c>
      <c r="C56" s="178" t="s">
        <v>833</v>
      </c>
      <c r="D56" s="177">
        <f>'ASET TETAP'!T56</f>
        <v>0</v>
      </c>
      <c r="E56" s="177">
        <v>0</v>
      </c>
    </row>
    <row r="57" spans="1:5" s="168" customFormat="1" ht="17.25" customHeight="1" x14ac:dyDescent="0.2">
      <c r="A57" s="180"/>
      <c r="B57" s="181"/>
      <c r="C57" s="178" t="s">
        <v>492</v>
      </c>
      <c r="D57" s="177"/>
      <c r="E57" s="177"/>
    </row>
    <row r="58" spans="1:5" s="168" customFormat="1" ht="17.25" customHeight="1" x14ac:dyDescent="0.2">
      <c r="A58" s="180"/>
      <c r="B58" s="181" t="s">
        <v>417</v>
      </c>
      <c r="C58" s="178" t="s">
        <v>827</v>
      </c>
      <c r="D58" s="177">
        <f>'ASET LAINNYA'!F44</f>
        <v>0</v>
      </c>
      <c r="E58" s="177"/>
    </row>
    <row r="59" spans="1:5" s="168" customFormat="1" ht="17.25" customHeight="1" x14ac:dyDescent="0.2">
      <c r="A59" s="180"/>
      <c r="B59" s="181" t="s">
        <v>417</v>
      </c>
      <c r="C59" s="178" t="s">
        <v>824</v>
      </c>
      <c r="D59" s="177">
        <f>'ASET LAINNYA'!H44</f>
        <v>0</v>
      </c>
      <c r="E59" s="177">
        <v>0</v>
      </c>
    </row>
    <row r="60" spans="1:5" s="168" customFormat="1" ht="17.25" customHeight="1" x14ac:dyDescent="0.2">
      <c r="A60" s="180"/>
      <c r="B60" s="181" t="s">
        <v>417</v>
      </c>
      <c r="C60" s="178" t="s">
        <v>834</v>
      </c>
      <c r="D60" s="177">
        <f>'ASET TETAP'!AH56</f>
        <v>0</v>
      </c>
      <c r="E60" s="177">
        <v>0</v>
      </c>
    </row>
    <row r="61" spans="1:5" s="168" customFormat="1" ht="17.25" customHeight="1" x14ac:dyDescent="0.2">
      <c r="A61" s="180"/>
      <c r="B61" s="181" t="s">
        <v>417</v>
      </c>
      <c r="C61" s="178" t="s">
        <v>828</v>
      </c>
      <c r="D61" s="177">
        <f>'ASET LAINNYA'!L44</f>
        <v>0</v>
      </c>
      <c r="E61" s="177">
        <v>0</v>
      </c>
    </row>
    <row r="62" spans="1:5" s="168" customFormat="1" ht="17.25" customHeight="1" x14ac:dyDescent="0.2">
      <c r="A62" s="180"/>
      <c r="B62" s="181" t="s">
        <v>417</v>
      </c>
      <c r="C62" s="178" t="s">
        <v>829</v>
      </c>
      <c r="D62" s="177">
        <f>'ASET LAINNYA'!N44</f>
        <v>0</v>
      </c>
      <c r="E62" s="177">
        <v>0</v>
      </c>
    </row>
    <row r="63" spans="1:5" s="168" customFormat="1" ht="17.25" customHeight="1" x14ac:dyDescent="0.2">
      <c r="A63" s="180"/>
      <c r="B63" s="181" t="s">
        <v>417</v>
      </c>
      <c r="C63" s="178" t="s">
        <v>493</v>
      </c>
      <c r="D63" s="177">
        <f>-'ASET LAINNYA'!P44</f>
        <v>-7936839790</v>
      </c>
      <c r="E63" s="177">
        <v>0</v>
      </c>
    </row>
    <row r="64" spans="1:5" s="168" customFormat="1" ht="17.25" customHeight="1" x14ac:dyDescent="0.2">
      <c r="A64" s="180" t="s">
        <v>415</v>
      </c>
      <c r="B64" s="179"/>
      <c r="C64" s="178" t="s">
        <v>419</v>
      </c>
      <c r="D64" s="177">
        <f>SUM(D65:D66)</f>
        <v>0</v>
      </c>
      <c r="E64" s="177">
        <v>0</v>
      </c>
    </row>
    <row r="65" spans="1:6" s="168" customFormat="1" ht="17.25" customHeight="1" x14ac:dyDescent="0.2">
      <c r="A65" s="180"/>
      <c r="B65" s="181" t="s">
        <v>417</v>
      </c>
      <c r="C65" s="178" t="s">
        <v>418</v>
      </c>
      <c r="D65" s="177">
        <f>-('SUSUT &amp; AMOR'!E35+'SUSUT &amp; AMOR'!H35)</f>
        <v>0</v>
      </c>
      <c r="E65" s="177">
        <v>0</v>
      </c>
    </row>
    <row r="66" spans="1:6" s="168" customFormat="1" ht="17.25" customHeight="1" x14ac:dyDescent="0.2">
      <c r="A66" s="180"/>
      <c r="B66" s="181" t="s">
        <v>417</v>
      </c>
      <c r="C66" s="178" t="s">
        <v>416</v>
      </c>
      <c r="D66" s="177">
        <f>'SUSUT &amp; AMOR'!F35+'SUSUT &amp; AMOR'!I35</f>
        <v>0</v>
      </c>
      <c r="E66" s="177">
        <v>0</v>
      </c>
    </row>
    <row r="67" spans="1:6" s="168" customFormat="1" ht="17.25" customHeight="1" x14ac:dyDescent="0.2">
      <c r="A67" s="180" t="s">
        <v>835</v>
      </c>
      <c r="B67" s="179"/>
      <c r="C67" s="178" t="s">
        <v>819</v>
      </c>
      <c r="D67" s="177">
        <f>SUM(D68:D69)</f>
        <v>7824231590</v>
      </c>
      <c r="E67" s="177">
        <v>112608200</v>
      </c>
    </row>
    <row r="68" spans="1:6" s="168" customFormat="1" ht="17.25" customHeight="1" x14ac:dyDescent="0.2">
      <c r="A68" s="180"/>
      <c r="B68" s="181" t="s">
        <v>417</v>
      </c>
      <c r="C68" s="178" t="s">
        <v>830</v>
      </c>
      <c r="D68" s="177">
        <f>-('SUSUT &amp; AMOR'!E60+'SUSUT &amp; AMOR'!H60)</f>
        <v>0</v>
      </c>
      <c r="E68" s="177"/>
    </row>
    <row r="69" spans="1:6" s="168" customFormat="1" ht="17.25" customHeight="1" x14ac:dyDescent="0.2">
      <c r="A69" s="180"/>
      <c r="B69" s="181" t="s">
        <v>417</v>
      </c>
      <c r="C69" s="178" t="s">
        <v>423</v>
      </c>
      <c r="D69" s="177">
        <f>('SUSUT &amp; AMOR'!F60+'SUSUT &amp; AMOR'!I60)</f>
        <v>7824231590</v>
      </c>
      <c r="E69" s="177">
        <v>112608200</v>
      </c>
    </row>
    <row r="70" spans="1:6" s="168" customFormat="1" ht="17.25" customHeight="1" x14ac:dyDescent="0.2">
      <c r="A70" s="180" t="s">
        <v>839</v>
      </c>
      <c r="B70" s="179"/>
      <c r="C70" s="178" t="s">
        <v>414</v>
      </c>
      <c r="D70" s="177">
        <f>SUM(D71:D72)</f>
        <v>0</v>
      </c>
      <c r="E70" s="177">
        <v>0</v>
      </c>
    </row>
    <row r="71" spans="1:6" s="168" customFormat="1" ht="17.25" customHeight="1" x14ac:dyDescent="0.2">
      <c r="A71" s="180"/>
      <c r="B71" s="181" t="s">
        <v>417</v>
      </c>
      <c r="C71" s="178" t="s">
        <v>820</v>
      </c>
      <c r="D71" s="177"/>
      <c r="E71" s="177"/>
    </row>
    <row r="72" spans="1:6" s="168" customFormat="1" ht="17.25" customHeight="1" x14ac:dyDescent="0.2">
      <c r="A72" s="180"/>
      <c r="B72" s="181" t="s">
        <v>417</v>
      </c>
      <c r="C72" s="178" t="s">
        <v>821</v>
      </c>
      <c r="D72" s="177"/>
      <c r="E72" s="177"/>
    </row>
    <row r="73" spans="1:6" s="166" customFormat="1" ht="17.25" customHeight="1" thickBot="1" x14ac:dyDescent="0.3">
      <c r="A73" s="176">
        <v>5</v>
      </c>
      <c r="B73" s="175" t="s">
        <v>413</v>
      </c>
      <c r="C73" s="174"/>
      <c r="D73" s="173">
        <f>D9+D10+D12+D11</f>
        <v>246599682919.60828</v>
      </c>
      <c r="E73" s="173">
        <v>259697687197.32159</v>
      </c>
    </row>
    <row r="74" spans="1:6" x14ac:dyDescent="0.3">
      <c r="C74" s="105"/>
      <c r="D74" s="387">
        <f>D73-NERACA!Q160</f>
        <v>1.617431640625E-3</v>
      </c>
      <c r="E74" s="172">
        <f>NERACA!G158-LPE!E73</f>
        <v>-1.617431640625E-3</v>
      </c>
    </row>
    <row r="75" spans="1:6" ht="15.75" x14ac:dyDescent="0.3">
      <c r="C75" s="105"/>
      <c r="D75" s="576"/>
      <c r="E75" s="576"/>
      <c r="F75" s="576"/>
    </row>
    <row r="76" spans="1:6" ht="15.75" x14ac:dyDescent="0.3">
      <c r="D76" s="817"/>
      <c r="E76" s="817"/>
      <c r="F76" s="817"/>
    </row>
    <row r="77" spans="1:6" ht="15.75" x14ac:dyDescent="0.3">
      <c r="D77" s="490"/>
      <c r="E77" s="381"/>
      <c r="F77" s="381"/>
    </row>
    <row r="78" spans="1:6" ht="16.5" x14ac:dyDescent="0.3">
      <c r="D78" s="491"/>
      <c r="E78" s="379"/>
      <c r="F78" s="380"/>
    </row>
    <row r="79" spans="1:6" ht="16.5" x14ac:dyDescent="0.3">
      <c r="D79" s="379"/>
      <c r="E79" s="379"/>
      <c r="F79" s="380"/>
    </row>
    <row r="80" spans="1:6" ht="15.75" x14ac:dyDescent="0.3">
      <c r="D80" s="818"/>
      <c r="E80" s="818"/>
      <c r="F80" s="818"/>
    </row>
    <row r="81" spans="4:6" ht="15.75" x14ac:dyDescent="0.3">
      <c r="D81" s="819"/>
      <c r="E81" s="819"/>
      <c r="F81" s="819"/>
    </row>
    <row r="82" spans="4:6" ht="15.75" x14ac:dyDescent="0.3">
      <c r="D82" s="819"/>
      <c r="E82" s="819"/>
      <c r="F82" s="819"/>
    </row>
  </sheetData>
  <sheetProtection algorithmName="SHA-512" hashValue="0x49avqDnVcUeSju63UtUGEbb1n6QL0naOLwqbX1zeygaUttGjIMs6N25SnL+5sv9jiJxQTewqHbz2gWS7ZfDw==" saltValue="k/OLf7lUNiihUEQxcw0/9Q==" spinCount="100000" sheet="1" objects="1" scenarios="1"/>
  <mergeCells count="11">
    <mergeCell ref="D76:F76"/>
    <mergeCell ref="D80:F80"/>
    <mergeCell ref="D82:F82"/>
    <mergeCell ref="D81:F81"/>
    <mergeCell ref="A2:E2"/>
    <mergeCell ref="A3:E3"/>
    <mergeCell ref="A4:E4"/>
    <mergeCell ref="A6:A8"/>
    <mergeCell ref="B6:C8"/>
    <mergeCell ref="D6:D8"/>
    <mergeCell ref="E6:E8"/>
  </mergeCells>
  <pageMargins left="0.78740157480314965" right="0.39370078740157483" top="0.39370078740157483" bottom="0.39370078740157483" header="0.31496062992125984" footer="0.31496062992125984"/>
  <pageSetup paperSize="10000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AJ107"/>
  <sheetViews>
    <sheetView view="pageBreakPreview" topLeftCell="A4" zoomScale="80" zoomScaleNormal="80" zoomScaleSheetLayoutView="80" workbookViewId="0">
      <selection activeCell="C18" sqref="C18"/>
    </sheetView>
  </sheetViews>
  <sheetFormatPr defaultColWidth="9.140625" defaultRowHeight="15" x14ac:dyDescent="0.3"/>
  <cols>
    <col min="1" max="1" width="4.140625" style="628" bestFit="1" customWidth="1"/>
    <col min="2" max="2" width="4.140625" style="629" customWidth="1"/>
    <col min="3" max="3" width="59.5703125" style="224" customWidth="1"/>
    <col min="4" max="4" width="21.28515625" style="224" hidden="1" customWidth="1"/>
    <col min="5" max="5" width="21.7109375" style="224" hidden="1" customWidth="1"/>
    <col min="6" max="6" width="7.7109375" style="224" customWidth="1"/>
    <col min="7" max="7" width="25.5703125" style="224" bestFit="1" customWidth="1"/>
    <col min="8" max="11" width="3.28515625" style="224" hidden="1" customWidth="1"/>
    <col min="12" max="12" width="25.5703125" style="224" hidden="1" customWidth="1"/>
    <col min="13" max="14" width="25.5703125" style="224" bestFit="1" customWidth="1"/>
    <col min="15" max="15" width="10.28515625" style="224" bestFit="1" customWidth="1"/>
    <col min="16" max="16" width="3.85546875" style="224" customWidth="1"/>
    <col min="17" max="17" width="9.140625" style="224"/>
    <col min="18" max="18" width="19.85546875" style="515" bestFit="1" customWidth="1"/>
    <col min="19" max="19" width="9.140625" style="224"/>
    <col min="20" max="20" width="18.5703125" style="515" bestFit="1" customWidth="1"/>
    <col min="21" max="21" width="13.85546875" style="515" bestFit="1" customWidth="1"/>
    <col min="22" max="22" width="18.5703125" style="515" bestFit="1" customWidth="1"/>
    <col min="23" max="23" width="13.7109375" style="515" bestFit="1" customWidth="1"/>
    <col min="24" max="24" width="18.42578125" style="515" bestFit="1" customWidth="1"/>
    <col min="25" max="36" width="9.140625" style="515"/>
    <col min="37" max="16384" width="9.140625" style="224"/>
  </cols>
  <sheetData>
    <row r="1" spans="1:36" x14ac:dyDescent="0.3">
      <c r="A1" s="831" t="s">
        <v>127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</row>
    <row r="2" spans="1:36" x14ac:dyDescent="0.3">
      <c r="A2" s="831" t="s">
        <v>1154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</row>
    <row r="3" spans="1:36" x14ac:dyDescent="0.3">
      <c r="A3" s="831" t="s">
        <v>856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</row>
    <row r="4" spans="1:36" ht="15.75" thickBot="1" x14ac:dyDescent="0.35">
      <c r="C4" s="630"/>
      <c r="D4" s="630"/>
      <c r="E4" s="630"/>
      <c r="F4" s="630"/>
    </row>
    <row r="5" spans="1:36" s="631" customFormat="1" ht="12" customHeight="1" thickBot="1" x14ac:dyDescent="0.3">
      <c r="A5" s="833" t="s">
        <v>22</v>
      </c>
      <c r="B5" s="837" t="s">
        <v>128</v>
      </c>
      <c r="C5" s="838"/>
      <c r="D5" s="833" t="s">
        <v>24</v>
      </c>
      <c r="E5" s="833" t="s">
        <v>25</v>
      </c>
      <c r="F5" s="833" t="s">
        <v>298</v>
      </c>
      <c r="G5" s="833">
        <v>2017</v>
      </c>
      <c r="H5" s="844" t="s">
        <v>190</v>
      </c>
      <c r="I5" s="845"/>
      <c r="J5" s="845"/>
      <c r="K5" s="846"/>
      <c r="L5" s="833" t="s">
        <v>299</v>
      </c>
      <c r="M5" s="833">
        <v>2016</v>
      </c>
      <c r="N5" s="833" t="s">
        <v>137</v>
      </c>
      <c r="O5" s="833" t="s">
        <v>129</v>
      </c>
      <c r="P5" s="843"/>
      <c r="R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</row>
    <row r="6" spans="1:36" s="631" customFormat="1" ht="12" customHeight="1" x14ac:dyDescent="0.25">
      <c r="A6" s="834"/>
      <c r="B6" s="839"/>
      <c r="C6" s="840"/>
      <c r="D6" s="834"/>
      <c r="E6" s="834"/>
      <c r="F6" s="834"/>
      <c r="G6" s="834"/>
      <c r="H6" s="837" t="s">
        <v>192</v>
      </c>
      <c r="I6" s="838"/>
      <c r="J6" s="837" t="s">
        <v>193</v>
      </c>
      <c r="K6" s="838"/>
      <c r="L6" s="834"/>
      <c r="M6" s="834"/>
      <c r="N6" s="834"/>
      <c r="O6" s="834"/>
      <c r="P6" s="843"/>
      <c r="R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</row>
    <row r="7" spans="1:36" s="631" customFormat="1" ht="12" customHeight="1" thickBot="1" x14ac:dyDescent="0.3">
      <c r="A7" s="835"/>
      <c r="B7" s="841"/>
      <c r="C7" s="842"/>
      <c r="D7" s="835"/>
      <c r="E7" s="835"/>
      <c r="F7" s="835"/>
      <c r="G7" s="835"/>
      <c r="H7" s="841"/>
      <c r="I7" s="842"/>
      <c r="J7" s="841"/>
      <c r="K7" s="842"/>
      <c r="L7" s="835"/>
      <c r="M7" s="835"/>
      <c r="N7" s="835"/>
      <c r="O7" s="835"/>
      <c r="P7" s="633"/>
      <c r="R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2"/>
    </row>
    <row r="8" spans="1:36" x14ac:dyDescent="0.3">
      <c r="A8" s="634">
        <v>1</v>
      </c>
      <c r="B8" s="635"/>
      <c r="C8" s="636">
        <v>2</v>
      </c>
      <c r="D8" s="636"/>
      <c r="E8" s="636"/>
      <c r="F8" s="636">
        <v>3</v>
      </c>
      <c r="G8" s="636">
        <v>4</v>
      </c>
      <c r="H8" s="636"/>
      <c r="I8" s="636"/>
      <c r="J8" s="636"/>
      <c r="K8" s="636"/>
      <c r="L8" s="636"/>
      <c r="M8" s="636">
        <v>5</v>
      </c>
      <c r="N8" s="636" t="s">
        <v>165</v>
      </c>
      <c r="O8" s="636">
        <v>7</v>
      </c>
      <c r="P8" s="223"/>
    </row>
    <row r="9" spans="1:36" x14ac:dyDescent="0.3">
      <c r="A9" s="225"/>
      <c r="B9" s="267"/>
      <c r="C9" s="637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7"/>
      <c r="O9" s="637"/>
      <c r="P9" s="223"/>
    </row>
    <row r="10" spans="1:36" x14ac:dyDescent="0.3">
      <c r="A10" s="225">
        <v>1</v>
      </c>
      <c r="B10" s="639" t="s">
        <v>130</v>
      </c>
      <c r="C10" s="259"/>
      <c r="D10" s="261"/>
      <c r="E10" s="261"/>
      <c r="F10" s="261"/>
      <c r="G10" s="640"/>
      <c r="H10" s="640"/>
      <c r="I10" s="640"/>
      <c r="J10" s="640"/>
      <c r="K10" s="640"/>
      <c r="L10" s="640"/>
      <c r="M10" s="640"/>
      <c r="N10" s="234"/>
      <c r="O10" s="234"/>
      <c r="P10" s="223"/>
    </row>
    <row r="11" spans="1:36" x14ac:dyDescent="0.3">
      <c r="A11" s="225">
        <v>2</v>
      </c>
      <c r="B11" s="641" t="s">
        <v>131</v>
      </c>
      <c r="C11" s="260"/>
      <c r="D11" s="261"/>
      <c r="E11" s="261"/>
      <c r="F11" s="261"/>
      <c r="G11" s="640"/>
      <c r="H11" s="640"/>
      <c r="I11" s="640"/>
      <c r="J11" s="640"/>
      <c r="K11" s="640"/>
      <c r="L11" s="640"/>
      <c r="M11" s="640"/>
      <c r="N11" s="234"/>
      <c r="O11" s="234"/>
      <c r="P11" s="223"/>
    </row>
    <row r="12" spans="1:36" x14ac:dyDescent="0.3">
      <c r="A12" s="225">
        <v>3</v>
      </c>
      <c r="B12" s="226" t="s">
        <v>135</v>
      </c>
      <c r="C12" s="227"/>
      <c r="D12" s="228">
        <v>8921006846000</v>
      </c>
      <c r="E12" s="228">
        <f>'PENDAPATAN LO'!C11</f>
        <v>0</v>
      </c>
      <c r="F12" s="229"/>
      <c r="G12" s="230">
        <f>'PENDAPATAN LO'!K11</f>
        <v>0</v>
      </c>
      <c r="H12" s="231"/>
      <c r="I12" s="231"/>
      <c r="J12" s="231"/>
      <c r="K12" s="231"/>
      <c r="L12" s="231">
        <f>+G12+I12-K12</f>
        <v>0</v>
      </c>
      <c r="M12" s="232"/>
      <c r="N12" s="233">
        <f>G12-M12</f>
        <v>0</v>
      </c>
      <c r="O12" s="234"/>
      <c r="P12" s="223"/>
    </row>
    <row r="13" spans="1:36" x14ac:dyDescent="0.3">
      <c r="A13" s="225">
        <v>4</v>
      </c>
      <c r="B13" s="226" t="s">
        <v>136</v>
      </c>
      <c r="C13" s="227"/>
      <c r="D13" s="228">
        <v>9202681000</v>
      </c>
      <c r="E13" s="228">
        <v>9895334776</v>
      </c>
      <c r="F13" s="229"/>
      <c r="G13" s="230">
        <f>'PENDAPATAN LO'!K17</f>
        <v>2236180000</v>
      </c>
      <c r="H13" s="231"/>
      <c r="I13" s="231"/>
      <c r="J13" s="231"/>
      <c r="K13" s="231"/>
      <c r="L13" s="231">
        <f>+G13+I13-K13</f>
        <v>2236180000</v>
      </c>
      <c r="M13" s="232">
        <v>1940000000</v>
      </c>
      <c r="N13" s="233">
        <f>G13-M13</f>
        <v>296180000</v>
      </c>
      <c r="O13" s="690">
        <f>+N13/G13</f>
        <v>0.13244908728277688</v>
      </c>
      <c r="P13" s="223"/>
      <c r="R13" s="515">
        <f>+'PENDAPATAN LO'!K29</f>
        <v>2236180000</v>
      </c>
      <c r="S13" s="642">
        <f>+G13-R13</f>
        <v>0</v>
      </c>
    </row>
    <row r="14" spans="1:36" x14ac:dyDescent="0.3">
      <c r="A14" s="225">
        <v>5</v>
      </c>
      <c r="B14" s="226" t="s">
        <v>375</v>
      </c>
      <c r="C14" s="227"/>
      <c r="D14" s="228"/>
      <c r="E14" s="228"/>
      <c r="F14" s="229"/>
      <c r="G14" s="230"/>
      <c r="H14" s="231"/>
      <c r="I14" s="231"/>
      <c r="J14" s="231"/>
      <c r="K14" s="231"/>
      <c r="L14" s="231">
        <f>+G14+I14-K14</f>
        <v>0</v>
      </c>
      <c r="M14" s="232"/>
      <c r="N14" s="233">
        <f>G14-M14</f>
        <v>0</v>
      </c>
      <c r="O14" s="234"/>
      <c r="P14" s="223"/>
    </row>
    <row r="15" spans="1:36" x14ac:dyDescent="0.3">
      <c r="A15" s="225">
        <v>6</v>
      </c>
      <c r="B15" s="643" t="s">
        <v>482</v>
      </c>
      <c r="C15" s="227"/>
      <c r="D15" s="228">
        <v>471135000</v>
      </c>
      <c r="E15" s="228">
        <f>'PENDAPATAN LO'!C28</f>
        <v>0</v>
      </c>
      <c r="F15" s="229"/>
      <c r="G15" s="230">
        <f>'PENDAPATAN LO'!K28+'PENDAPATAN LO'!F29+NERACA!N121</f>
        <v>0</v>
      </c>
      <c r="H15" s="231"/>
      <c r="I15" s="231"/>
      <c r="J15" s="231"/>
      <c r="K15" s="231"/>
      <c r="L15" s="231"/>
      <c r="M15" s="644">
        <v>0</v>
      </c>
      <c r="N15" s="233">
        <f>G15-M15</f>
        <v>0</v>
      </c>
      <c r="O15" s="234"/>
      <c r="P15" s="223"/>
    </row>
    <row r="16" spans="1:36" s="266" customFormat="1" x14ac:dyDescent="0.3">
      <c r="A16" s="225">
        <v>7</v>
      </c>
      <c r="B16" s="645"/>
      <c r="C16" s="646" t="s">
        <v>494</v>
      </c>
      <c r="D16" s="271">
        <f>SUM(D12:D15)</f>
        <v>8930680662000</v>
      </c>
      <c r="E16" s="271">
        <f>SUM(E12:E15)</f>
        <v>9895334776</v>
      </c>
      <c r="F16" s="271"/>
      <c r="G16" s="647">
        <f t="shared" ref="G16:N16" si="0">SUM(G12:G15)</f>
        <v>2236180000</v>
      </c>
      <c r="H16" s="647">
        <f t="shared" si="0"/>
        <v>0</v>
      </c>
      <c r="I16" s="647">
        <f t="shared" si="0"/>
        <v>0</v>
      </c>
      <c r="J16" s="647">
        <f t="shared" si="0"/>
        <v>0</v>
      </c>
      <c r="K16" s="647">
        <f t="shared" si="0"/>
        <v>0</v>
      </c>
      <c r="L16" s="647">
        <f t="shared" si="0"/>
        <v>2236180000</v>
      </c>
      <c r="M16" s="647">
        <f t="shared" si="0"/>
        <v>1940000000</v>
      </c>
      <c r="N16" s="647">
        <f t="shared" si="0"/>
        <v>296180000</v>
      </c>
      <c r="O16" s="691">
        <f>+N16/G16</f>
        <v>0.13244908728277688</v>
      </c>
      <c r="P16" s="265"/>
      <c r="R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</row>
    <row r="17" spans="1:36" s="266" customFormat="1" x14ac:dyDescent="0.3">
      <c r="A17" s="225"/>
      <c r="B17" s="267"/>
      <c r="C17" s="260"/>
      <c r="D17" s="261"/>
      <c r="E17" s="261"/>
      <c r="F17" s="261"/>
      <c r="G17" s="262"/>
      <c r="H17" s="263"/>
      <c r="I17" s="263"/>
      <c r="J17" s="263"/>
      <c r="K17" s="263"/>
      <c r="L17" s="263"/>
      <c r="M17" s="263"/>
      <c r="N17" s="264"/>
      <c r="O17" s="259"/>
      <c r="P17" s="265"/>
      <c r="R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</row>
    <row r="18" spans="1:36" s="266" customFormat="1" x14ac:dyDescent="0.3">
      <c r="A18" s="225">
        <v>8</v>
      </c>
      <c r="B18" s="259" t="s">
        <v>146</v>
      </c>
      <c r="C18" s="260"/>
      <c r="D18" s="261"/>
      <c r="E18" s="261"/>
      <c r="F18" s="261"/>
      <c r="G18" s="262"/>
      <c r="H18" s="263"/>
      <c r="I18" s="263"/>
      <c r="J18" s="263"/>
      <c r="K18" s="263"/>
      <c r="L18" s="263"/>
      <c r="M18" s="263"/>
      <c r="N18" s="264"/>
      <c r="O18" s="259"/>
      <c r="P18" s="265"/>
      <c r="R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</row>
    <row r="19" spans="1:36" s="266" customFormat="1" x14ac:dyDescent="0.3">
      <c r="A19" s="225">
        <v>9</v>
      </c>
      <c r="B19" s="259" t="s">
        <v>147</v>
      </c>
      <c r="C19" s="260"/>
      <c r="D19" s="261"/>
      <c r="E19" s="261"/>
      <c r="F19" s="261"/>
      <c r="G19" s="262"/>
      <c r="H19" s="263"/>
      <c r="I19" s="263"/>
      <c r="J19" s="263"/>
      <c r="K19" s="263"/>
      <c r="L19" s="263"/>
      <c r="M19" s="263"/>
      <c r="N19" s="264"/>
      <c r="O19" s="259"/>
      <c r="P19" s="265"/>
      <c r="R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</row>
    <row r="20" spans="1:36" x14ac:dyDescent="0.3">
      <c r="A20" s="225">
        <v>10</v>
      </c>
      <c r="B20" s="234" t="s">
        <v>148</v>
      </c>
      <c r="C20" s="227"/>
      <c r="D20" s="229"/>
      <c r="E20" s="229"/>
      <c r="F20" s="229"/>
      <c r="G20" s="230"/>
      <c r="H20" s="231"/>
      <c r="I20" s="231"/>
      <c r="J20" s="231"/>
      <c r="K20" s="231"/>
      <c r="L20" s="231">
        <f>+G20+I20-K20</f>
        <v>0</v>
      </c>
      <c r="M20" s="231"/>
      <c r="N20" s="233">
        <f>G20-M20</f>
        <v>0</v>
      </c>
      <c r="O20" s="234"/>
      <c r="P20" s="223"/>
    </row>
    <row r="21" spans="1:36" x14ac:dyDescent="0.3">
      <c r="A21" s="225">
        <v>11</v>
      </c>
      <c r="B21" s="234" t="s">
        <v>149</v>
      </c>
      <c r="C21" s="227"/>
      <c r="D21" s="229"/>
      <c r="E21" s="229"/>
      <c r="F21" s="229"/>
      <c r="G21" s="230"/>
      <c r="H21" s="231"/>
      <c r="I21" s="231"/>
      <c r="J21" s="231"/>
      <c r="K21" s="231"/>
      <c r="L21" s="231">
        <f>+G21+I21-K21</f>
        <v>0</v>
      </c>
      <c r="M21" s="231"/>
      <c r="N21" s="233">
        <f>G21-M21</f>
        <v>0</v>
      </c>
      <c r="O21" s="234"/>
      <c r="P21" s="223"/>
    </row>
    <row r="22" spans="1:36" x14ac:dyDescent="0.3">
      <c r="A22" s="225">
        <v>12</v>
      </c>
      <c r="B22" s="234" t="s">
        <v>150</v>
      </c>
      <c r="C22" s="227"/>
      <c r="D22" s="229"/>
      <c r="E22" s="229"/>
      <c r="F22" s="229"/>
      <c r="G22" s="230"/>
      <c r="H22" s="231"/>
      <c r="I22" s="231"/>
      <c r="J22" s="231"/>
      <c r="K22" s="231"/>
      <c r="L22" s="231">
        <f>+G22+I22-K22</f>
        <v>0</v>
      </c>
      <c r="M22" s="231"/>
      <c r="N22" s="233">
        <f>G22-M22</f>
        <v>0</v>
      </c>
      <c r="O22" s="234"/>
      <c r="P22" s="223"/>
    </row>
    <row r="23" spans="1:36" x14ac:dyDescent="0.3">
      <c r="A23" s="225">
        <v>13</v>
      </c>
      <c r="B23" s="234" t="s">
        <v>151</v>
      </c>
      <c r="C23" s="227"/>
      <c r="D23" s="229"/>
      <c r="E23" s="229"/>
      <c r="F23" s="229"/>
      <c r="G23" s="230"/>
      <c r="H23" s="231"/>
      <c r="I23" s="231"/>
      <c r="J23" s="231"/>
      <c r="K23" s="231"/>
      <c r="L23" s="231">
        <f>+G23+I23-K23</f>
        <v>0</v>
      </c>
      <c r="M23" s="231"/>
      <c r="N23" s="233">
        <f>G23-M23</f>
        <v>0</v>
      </c>
      <c r="O23" s="234"/>
      <c r="P23" s="223"/>
    </row>
    <row r="24" spans="1:36" s="266" customFormat="1" ht="25.5" x14ac:dyDescent="0.3">
      <c r="A24" s="225">
        <v>14</v>
      </c>
      <c r="B24" s="267"/>
      <c r="C24" s="268" t="s">
        <v>152</v>
      </c>
      <c r="D24" s="263">
        <f>SUM(D20:D23)</f>
        <v>0</v>
      </c>
      <c r="E24" s="263">
        <f>SUM(E20:E23)</f>
        <v>0</v>
      </c>
      <c r="F24" s="263"/>
      <c r="G24" s="263">
        <f>SUM(G20:G23)</f>
        <v>0</v>
      </c>
      <c r="H24" s="263"/>
      <c r="I24" s="263">
        <f t="shared" ref="I24:N24" si="1">SUM(I20:I23)</f>
        <v>0</v>
      </c>
      <c r="J24" s="263"/>
      <c r="K24" s="263">
        <f t="shared" si="1"/>
        <v>0</v>
      </c>
      <c r="L24" s="263">
        <f t="shared" si="1"/>
        <v>0</v>
      </c>
      <c r="M24" s="263">
        <f t="shared" si="1"/>
        <v>0</v>
      </c>
      <c r="N24" s="263">
        <f t="shared" si="1"/>
        <v>0</v>
      </c>
      <c r="O24" s="259"/>
      <c r="P24" s="265"/>
      <c r="R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</row>
    <row r="25" spans="1:36" s="266" customFormat="1" x14ac:dyDescent="0.3">
      <c r="A25" s="225"/>
      <c r="B25" s="267"/>
      <c r="C25" s="260"/>
      <c r="D25" s="261"/>
      <c r="E25" s="261"/>
      <c r="F25" s="261"/>
      <c r="G25" s="262"/>
      <c r="H25" s="263"/>
      <c r="I25" s="263"/>
      <c r="J25" s="263"/>
      <c r="K25" s="263"/>
      <c r="L25" s="263"/>
      <c r="M25" s="263"/>
      <c r="N25" s="264"/>
      <c r="O25" s="259"/>
      <c r="P25" s="265"/>
      <c r="R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</row>
    <row r="26" spans="1:36" s="266" customFormat="1" x14ac:dyDescent="0.3">
      <c r="A26" s="225">
        <v>15</v>
      </c>
      <c r="B26" s="259" t="s">
        <v>153</v>
      </c>
      <c r="C26" s="260"/>
      <c r="D26" s="261"/>
      <c r="E26" s="261"/>
      <c r="F26" s="261"/>
      <c r="G26" s="262"/>
      <c r="H26" s="263"/>
      <c r="I26" s="263"/>
      <c r="J26" s="263"/>
      <c r="K26" s="263"/>
      <c r="L26" s="263"/>
      <c r="M26" s="263"/>
      <c r="N26" s="264"/>
      <c r="O26" s="259"/>
      <c r="P26" s="265"/>
      <c r="R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</row>
    <row r="27" spans="1:36" x14ac:dyDescent="0.3">
      <c r="A27" s="225">
        <v>16</v>
      </c>
      <c r="B27" s="234" t="s">
        <v>154</v>
      </c>
      <c r="C27" s="227"/>
      <c r="D27" s="229"/>
      <c r="E27" s="229"/>
      <c r="F27" s="229"/>
      <c r="G27" s="230"/>
      <c r="H27" s="231"/>
      <c r="I27" s="231"/>
      <c r="J27" s="231"/>
      <c r="K27" s="231"/>
      <c r="L27" s="231">
        <f>+G27+I27-K27</f>
        <v>0</v>
      </c>
      <c r="M27" s="231"/>
      <c r="N27" s="233">
        <f>G27-M27</f>
        <v>0</v>
      </c>
      <c r="O27" s="234"/>
      <c r="P27" s="223"/>
    </row>
    <row r="28" spans="1:36" x14ac:dyDescent="0.3">
      <c r="A28" s="225">
        <v>17</v>
      </c>
      <c r="B28" s="234" t="s">
        <v>155</v>
      </c>
      <c r="C28" s="227"/>
      <c r="D28" s="229"/>
      <c r="E28" s="229"/>
      <c r="F28" s="229"/>
      <c r="G28" s="230"/>
      <c r="H28" s="231"/>
      <c r="I28" s="231"/>
      <c r="J28" s="231"/>
      <c r="K28" s="231"/>
      <c r="L28" s="231">
        <f>+G28+I28-K28</f>
        <v>0</v>
      </c>
      <c r="M28" s="231"/>
      <c r="N28" s="233">
        <f>G28-M28</f>
        <v>0</v>
      </c>
      <c r="O28" s="234"/>
      <c r="P28" s="223"/>
    </row>
    <row r="29" spans="1:36" s="266" customFormat="1" x14ac:dyDescent="0.3">
      <c r="A29" s="225">
        <v>18</v>
      </c>
      <c r="B29" s="267"/>
      <c r="C29" s="268" t="s">
        <v>495</v>
      </c>
      <c r="D29" s="263">
        <f>SUM(D27:D28)</f>
        <v>0</v>
      </c>
      <c r="E29" s="263">
        <f>SUM(E27:E28)</f>
        <v>0</v>
      </c>
      <c r="F29" s="263"/>
      <c r="G29" s="263">
        <f>SUM(G27:G28)</f>
        <v>0</v>
      </c>
      <c r="H29" s="263"/>
      <c r="I29" s="263">
        <f t="shared" ref="I29:N29" si="2">SUM(I27:I28)</f>
        <v>0</v>
      </c>
      <c r="J29" s="263"/>
      <c r="K29" s="263">
        <f t="shared" si="2"/>
        <v>0</v>
      </c>
      <c r="L29" s="263">
        <f t="shared" si="2"/>
        <v>0</v>
      </c>
      <c r="M29" s="263">
        <f t="shared" si="2"/>
        <v>0</v>
      </c>
      <c r="N29" s="263">
        <f t="shared" si="2"/>
        <v>0</v>
      </c>
      <c r="O29" s="259"/>
      <c r="P29" s="265"/>
      <c r="R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</row>
    <row r="30" spans="1:36" s="266" customFormat="1" x14ac:dyDescent="0.3">
      <c r="A30" s="225">
        <v>19</v>
      </c>
      <c r="B30" s="267"/>
      <c r="C30" s="268" t="s">
        <v>496</v>
      </c>
      <c r="D30" s="263">
        <f>D24+D29</f>
        <v>0</v>
      </c>
      <c r="E30" s="263">
        <f>E24+E29</f>
        <v>0</v>
      </c>
      <c r="F30" s="263"/>
      <c r="G30" s="263">
        <f t="shared" ref="G30:N30" si="3">G24+G29</f>
        <v>0</v>
      </c>
      <c r="H30" s="263">
        <f t="shared" si="3"/>
        <v>0</v>
      </c>
      <c r="I30" s="263">
        <f t="shared" si="3"/>
        <v>0</v>
      </c>
      <c r="J30" s="263">
        <f t="shared" si="3"/>
        <v>0</v>
      </c>
      <c r="K30" s="263">
        <f t="shared" si="3"/>
        <v>0</v>
      </c>
      <c r="L30" s="263">
        <f t="shared" si="3"/>
        <v>0</v>
      </c>
      <c r="M30" s="263">
        <f t="shared" si="3"/>
        <v>0</v>
      </c>
      <c r="N30" s="263">
        <f t="shared" si="3"/>
        <v>0</v>
      </c>
      <c r="O30" s="259"/>
      <c r="P30" s="265"/>
      <c r="R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516"/>
      <c r="AI30" s="516"/>
      <c r="AJ30" s="516"/>
    </row>
    <row r="31" spans="1:36" s="266" customFormat="1" x14ac:dyDescent="0.3">
      <c r="A31" s="225"/>
      <c r="B31" s="267"/>
      <c r="C31" s="260"/>
      <c r="D31" s="261"/>
      <c r="E31" s="261"/>
      <c r="F31" s="261"/>
      <c r="G31" s="262"/>
      <c r="H31" s="263"/>
      <c r="I31" s="263"/>
      <c r="J31" s="263"/>
      <c r="K31" s="263"/>
      <c r="L31" s="263"/>
      <c r="M31" s="263"/>
      <c r="N31" s="264"/>
      <c r="O31" s="259"/>
      <c r="P31" s="265"/>
      <c r="R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</row>
    <row r="32" spans="1:36" s="266" customFormat="1" x14ac:dyDescent="0.3">
      <c r="A32" s="225">
        <v>22</v>
      </c>
      <c r="B32" s="259" t="s">
        <v>156</v>
      </c>
      <c r="C32" s="260"/>
      <c r="D32" s="261"/>
      <c r="E32" s="261"/>
      <c r="F32" s="261"/>
      <c r="G32" s="262"/>
      <c r="H32" s="263"/>
      <c r="I32" s="263"/>
      <c r="J32" s="263"/>
      <c r="K32" s="263"/>
      <c r="L32" s="263"/>
      <c r="M32" s="263"/>
      <c r="N32" s="264"/>
      <c r="O32" s="259"/>
      <c r="P32" s="265"/>
      <c r="R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</row>
    <row r="33" spans="1:36" x14ac:dyDescent="0.3">
      <c r="A33" s="225">
        <v>23</v>
      </c>
      <c r="B33" s="234" t="s">
        <v>376</v>
      </c>
      <c r="C33" s="227"/>
      <c r="D33" s="648">
        <f>SUM(D34:D35)</f>
        <v>0</v>
      </c>
      <c r="E33" s="648">
        <f>SUM(E34:E35)</f>
        <v>0</v>
      </c>
      <c r="F33" s="648"/>
      <c r="G33" s="649">
        <f t="shared" ref="G33:N33" si="4">SUM(G34:G35)</f>
        <v>0</v>
      </c>
      <c r="H33" s="648">
        <f t="shared" si="4"/>
        <v>0</v>
      </c>
      <c r="I33" s="648">
        <f t="shared" si="4"/>
        <v>0</v>
      </c>
      <c r="J33" s="648">
        <f t="shared" si="4"/>
        <v>0</v>
      </c>
      <c r="K33" s="648">
        <f t="shared" si="4"/>
        <v>0</v>
      </c>
      <c r="L33" s="648">
        <f t="shared" si="4"/>
        <v>0</v>
      </c>
      <c r="M33" s="648">
        <f t="shared" si="4"/>
        <v>0</v>
      </c>
      <c r="N33" s="648">
        <f t="shared" si="4"/>
        <v>0</v>
      </c>
      <c r="O33" s="234"/>
      <c r="P33" s="223"/>
    </row>
    <row r="34" spans="1:36" x14ac:dyDescent="0.3">
      <c r="A34" s="225"/>
      <c r="B34" s="643" t="s">
        <v>417</v>
      </c>
      <c r="C34" s="227" t="s">
        <v>481</v>
      </c>
      <c r="D34" s="648">
        <v>0</v>
      </c>
      <c r="E34" s="229"/>
      <c r="F34" s="229"/>
      <c r="G34" s="230"/>
      <c r="H34" s="231"/>
      <c r="I34" s="231"/>
      <c r="J34" s="231"/>
      <c r="K34" s="231"/>
      <c r="L34" s="231"/>
      <c r="M34" s="231"/>
      <c r="N34" s="233"/>
      <c r="O34" s="234"/>
      <c r="P34" s="223"/>
    </row>
    <row r="35" spans="1:36" x14ac:dyDescent="0.3">
      <c r="A35" s="225"/>
      <c r="B35" s="643" t="s">
        <v>480</v>
      </c>
      <c r="C35" s="227" t="s">
        <v>479</v>
      </c>
      <c r="D35" s="648">
        <v>0</v>
      </c>
      <c r="E35" s="650"/>
      <c r="F35" s="229"/>
      <c r="G35" s="230">
        <f>'ASET TETAP'!J42</f>
        <v>0</v>
      </c>
      <c r="H35" s="231"/>
      <c r="I35" s="231"/>
      <c r="J35" s="231"/>
      <c r="K35" s="231"/>
      <c r="L35" s="231"/>
      <c r="M35" s="231"/>
      <c r="N35" s="233"/>
      <c r="O35" s="234"/>
      <c r="P35" s="223"/>
    </row>
    <row r="36" spans="1:36" x14ac:dyDescent="0.3">
      <c r="A36" s="225">
        <v>24</v>
      </c>
      <c r="B36" s="234" t="s">
        <v>478</v>
      </c>
      <c r="C36" s="227"/>
      <c r="D36" s="229"/>
      <c r="E36" s="229"/>
      <c r="F36" s="229"/>
      <c r="G36" s="230"/>
      <c r="H36" s="231"/>
      <c r="I36" s="231"/>
      <c r="J36" s="231"/>
      <c r="K36" s="231"/>
      <c r="L36" s="231"/>
      <c r="M36" s="231"/>
      <c r="N36" s="233"/>
      <c r="O36" s="234"/>
      <c r="P36" s="223"/>
    </row>
    <row r="37" spans="1:36" x14ac:dyDescent="0.3">
      <c r="A37" s="225">
        <v>25</v>
      </c>
      <c r="B37" s="234" t="s">
        <v>477</v>
      </c>
      <c r="C37" s="227"/>
      <c r="D37" s="648">
        <f>SUM(D38)</f>
        <v>0</v>
      </c>
      <c r="E37" s="648">
        <f>SUM(E38)</f>
        <v>0</v>
      </c>
      <c r="F37" s="648"/>
      <c r="G37" s="648">
        <f t="shared" ref="G37:N37" si="5">SUM(G38)</f>
        <v>0</v>
      </c>
      <c r="H37" s="648">
        <f t="shared" si="5"/>
        <v>0</v>
      </c>
      <c r="I37" s="648">
        <f t="shared" si="5"/>
        <v>0</v>
      </c>
      <c r="J37" s="648">
        <f t="shared" si="5"/>
        <v>0</v>
      </c>
      <c r="K37" s="648">
        <f t="shared" si="5"/>
        <v>0</v>
      </c>
      <c r="L37" s="648">
        <f t="shared" si="5"/>
        <v>0</v>
      </c>
      <c r="M37" s="648">
        <f t="shared" si="5"/>
        <v>0</v>
      </c>
      <c r="N37" s="648">
        <f t="shared" si="5"/>
        <v>0</v>
      </c>
      <c r="O37" s="234"/>
      <c r="P37" s="223"/>
    </row>
    <row r="38" spans="1:36" x14ac:dyDescent="0.3">
      <c r="A38" s="225"/>
      <c r="B38" s="643" t="s">
        <v>417</v>
      </c>
      <c r="C38" s="227" t="s">
        <v>157</v>
      </c>
      <c r="D38" s="229"/>
      <c r="E38" s="229"/>
      <c r="F38" s="229"/>
      <c r="G38" s="230"/>
      <c r="H38" s="231"/>
      <c r="I38" s="231"/>
      <c r="J38" s="231"/>
      <c r="K38" s="231"/>
      <c r="L38" s="231"/>
      <c r="M38" s="231"/>
      <c r="N38" s="233"/>
      <c r="O38" s="234"/>
      <c r="P38" s="223"/>
    </row>
    <row r="39" spans="1:36" s="266" customFormat="1" x14ac:dyDescent="0.3">
      <c r="A39" s="225">
        <v>26</v>
      </c>
      <c r="B39" s="267"/>
      <c r="C39" s="268" t="s">
        <v>497</v>
      </c>
      <c r="D39" s="263">
        <f t="shared" ref="D39:N39" si="6">SUM(D33:D37)</f>
        <v>0</v>
      </c>
      <c r="E39" s="263">
        <f>+E37+E36+E33</f>
        <v>0</v>
      </c>
      <c r="F39" s="263"/>
      <c r="G39" s="263">
        <f>+G37+G36+G33</f>
        <v>0</v>
      </c>
      <c r="H39" s="263">
        <f t="shared" si="6"/>
        <v>0</v>
      </c>
      <c r="I39" s="263">
        <f t="shared" si="6"/>
        <v>0</v>
      </c>
      <c r="J39" s="263">
        <f t="shared" si="6"/>
        <v>0</v>
      </c>
      <c r="K39" s="263">
        <f t="shared" si="6"/>
        <v>0</v>
      </c>
      <c r="L39" s="263">
        <f t="shared" si="6"/>
        <v>0</v>
      </c>
      <c r="M39" s="263">
        <f t="shared" si="6"/>
        <v>0</v>
      </c>
      <c r="N39" s="263">
        <f t="shared" si="6"/>
        <v>0</v>
      </c>
      <c r="O39" s="259"/>
      <c r="P39" s="265"/>
      <c r="R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6"/>
      <c r="AG39" s="516"/>
      <c r="AH39" s="516"/>
      <c r="AI39" s="516"/>
      <c r="AJ39" s="516"/>
    </row>
    <row r="40" spans="1:36" x14ac:dyDescent="0.3">
      <c r="A40" s="225"/>
      <c r="B40" s="267"/>
      <c r="C40" s="227"/>
      <c r="D40" s="229"/>
      <c r="E40" s="229"/>
      <c r="F40" s="229"/>
      <c r="G40" s="230"/>
      <c r="H40" s="640"/>
      <c r="I40" s="640"/>
      <c r="J40" s="640"/>
      <c r="K40" s="640"/>
      <c r="L40" s="640"/>
      <c r="M40" s="640"/>
      <c r="N40" s="234"/>
      <c r="O40" s="234"/>
      <c r="P40" s="223"/>
    </row>
    <row r="41" spans="1:36" s="266" customFormat="1" x14ac:dyDescent="0.3">
      <c r="A41" s="225">
        <v>27</v>
      </c>
      <c r="B41" s="267"/>
      <c r="C41" s="268" t="s">
        <v>498</v>
      </c>
      <c r="D41" s="263">
        <f>D16+D30+D39</f>
        <v>8930680662000</v>
      </c>
      <c r="E41" s="263">
        <f t="shared" ref="E41:N41" si="7">E16+E30+E39</f>
        <v>9895334776</v>
      </c>
      <c r="F41" s="263"/>
      <c r="G41" s="262">
        <f t="shared" si="7"/>
        <v>2236180000</v>
      </c>
      <c r="H41" s="262">
        <f t="shared" si="7"/>
        <v>0</v>
      </c>
      <c r="I41" s="262">
        <f t="shared" si="7"/>
        <v>0</v>
      </c>
      <c r="J41" s="262">
        <f t="shared" si="7"/>
        <v>0</v>
      </c>
      <c r="K41" s="262">
        <f t="shared" si="7"/>
        <v>0</v>
      </c>
      <c r="L41" s="262">
        <f t="shared" si="7"/>
        <v>2236180000</v>
      </c>
      <c r="M41" s="262">
        <f t="shared" si="7"/>
        <v>1940000000</v>
      </c>
      <c r="N41" s="262">
        <f t="shared" si="7"/>
        <v>296180000</v>
      </c>
      <c r="O41" s="691">
        <f>+N41/G41</f>
        <v>0.13244908728277688</v>
      </c>
      <c r="P41" s="265"/>
      <c r="R41" s="516"/>
      <c r="T41" s="516"/>
      <c r="U41" s="516"/>
      <c r="V41" s="516"/>
      <c r="W41" s="516"/>
      <c r="X41" s="516"/>
      <c r="Y41" s="516"/>
      <c r="Z41" s="516"/>
      <c r="AA41" s="516"/>
      <c r="AB41" s="516"/>
      <c r="AC41" s="516"/>
      <c r="AD41" s="516"/>
      <c r="AE41" s="516"/>
      <c r="AF41" s="516"/>
      <c r="AG41" s="516"/>
      <c r="AH41" s="516"/>
      <c r="AI41" s="516"/>
      <c r="AJ41" s="516"/>
    </row>
    <row r="42" spans="1:36" x14ac:dyDescent="0.3">
      <c r="A42" s="225"/>
      <c r="B42" s="267"/>
      <c r="C42" s="651"/>
      <c r="D42" s="652"/>
      <c r="E42" s="652"/>
      <c r="F42" s="652"/>
      <c r="G42" s="230"/>
      <c r="H42" s="640"/>
      <c r="I42" s="640"/>
      <c r="J42" s="640"/>
      <c r="K42" s="640"/>
      <c r="L42" s="640"/>
      <c r="M42" s="640"/>
      <c r="N42" s="234"/>
      <c r="O42" s="234"/>
      <c r="P42" s="223"/>
    </row>
    <row r="43" spans="1:36" x14ac:dyDescent="0.3">
      <c r="A43" s="225">
        <v>28</v>
      </c>
      <c r="B43" s="653" t="s">
        <v>132</v>
      </c>
      <c r="C43" s="260"/>
      <c r="D43" s="654"/>
      <c r="E43" s="654"/>
      <c r="F43" s="261"/>
      <c r="G43" s="230"/>
      <c r="H43" s="640"/>
      <c r="I43" s="640"/>
      <c r="J43" s="640"/>
      <c r="K43" s="640"/>
      <c r="L43" s="640"/>
      <c r="M43" s="640"/>
      <c r="N43" s="234"/>
      <c r="O43" s="234"/>
      <c r="P43" s="223"/>
    </row>
    <row r="44" spans="1:36" x14ac:dyDescent="0.3">
      <c r="A44" s="225">
        <v>29</v>
      </c>
      <c r="B44" s="653" t="s">
        <v>300</v>
      </c>
      <c r="C44" s="260"/>
      <c r="D44" s="654"/>
      <c r="E44" s="654"/>
      <c r="F44" s="261"/>
      <c r="G44" s="230"/>
      <c r="H44" s="640"/>
      <c r="I44" s="640"/>
      <c r="J44" s="640"/>
      <c r="K44" s="640"/>
      <c r="L44" s="640"/>
      <c r="M44" s="655"/>
      <c r="N44" s="234"/>
      <c r="O44" s="234"/>
      <c r="P44" s="223"/>
    </row>
    <row r="45" spans="1:36" x14ac:dyDescent="0.3">
      <c r="A45" s="225">
        <v>30</v>
      </c>
      <c r="B45" s="643" t="s">
        <v>133</v>
      </c>
      <c r="C45" s="227"/>
      <c r="D45" s="228" t="e">
        <f>'BEBAN PEGAWAI'!#REF!</f>
        <v>#REF!</v>
      </c>
      <c r="E45" s="228">
        <f>'BEBAN PEGAWAI'!D39</f>
        <v>0</v>
      </c>
      <c r="F45" s="229"/>
      <c r="G45" s="230">
        <f>'BEBAN PEGAWAI'!C39</f>
        <v>100407404174</v>
      </c>
      <c r="H45" s="231"/>
      <c r="I45" s="231"/>
      <c r="J45" s="231"/>
      <c r="K45" s="231"/>
      <c r="L45" s="231">
        <f>+G45+I45-K45</f>
        <v>100407404174</v>
      </c>
      <c r="M45" s="232">
        <v>146289179053</v>
      </c>
      <c r="N45" s="233">
        <f t="shared" ref="N45:N65" si="8">G45-M45</f>
        <v>-45881774879</v>
      </c>
      <c r="O45" s="690">
        <f t="shared" ref="O45:O51" si="9">+N45/G45</f>
        <v>-0.45695609060353398</v>
      </c>
      <c r="P45" s="223"/>
      <c r="R45" s="515">
        <f>'BEBAN PEGAWAI'!G39</f>
        <v>100407404174</v>
      </c>
      <c r="S45" s="642">
        <f>+G45-R45</f>
        <v>0</v>
      </c>
    </row>
    <row r="46" spans="1:36" x14ac:dyDescent="0.3">
      <c r="A46" s="225">
        <v>31</v>
      </c>
      <c r="B46" s="643" t="s">
        <v>476</v>
      </c>
      <c r="C46" s="227"/>
      <c r="D46" s="228" t="e">
        <f>SUM(D47:D51)</f>
        <v>#REF!</v>
      </c>
      <c r="E46" s="228">
        <f>SUM(E47:E51)</f>
        <v>38400151255</v>
      </c>
      <c r="F46" s="228"/>
      <c r="G46" s="656">
        <f t="shared" ref="G46:M46" si="10">SUM(G47:G51)</f>
        <v>80926679493.833328</v>
      </c>
      <c r="H46" s="656">
        <f t="shared" si="10"/>
        <v>0</v>
      </c>
      <c r="I46" s="656">
        <f t="shared" si="10"/>
        <v>0</v>
      </c>
      <c r="J46" s="656">
        <f t="shared" si="10"/>
        <v>0</v>
      </c>
      <c r="K46" s="656">
        <f t="shared" si="10"/>
        <v>0</v>
      </c>
      <c r="L46" s="656">
        <f t="shared" si="10"/>
        <v>80841179493.833328</v>
      </c>
      <c r="M46" s="656">
        <f t="shared" si="10"/>
        <v>100612596022.91667</v>
      </c>
      <c r="N46" s="656">
        <f>SUM(N47:N51)</f>
        <v>-19685916529.083336</v>
      </c>
      <c r="O46" s="690">
        <f t="shared" si="9"/>
        <v>-0.24325619996040262</v>
      </c>
      <c r="P46" s="223"/>
    </row>
    <row r="47" spans="1:36" x14ac:dyDescent="0.3">
      <c r="A47" s="225"/>
      <c r="B47" s="267" t="s">
        <v>417</v>
      </c>
      <c r="C47" s="227" t="s">
        <v>141</v>
      </c>
      <c r="D47" s="228" t="e">
        <f>'BEBAN PERSEDIAAN'!#REF!</f>
        <v>#REF!</v>
      </c>
      <c r="E47" s="228">
        <f>'BEBAN PERSEDIAAN'!C121</f>
        <v>23555148130</v>
      </c>
      <c r="F47" s="229"/>
      <c r="G47" s="230">
        <f>+'BEBAN PERSEDIAAN'!G121</f>
        <v>23540716005</v>
      </c>
      <c r="H47" s="231"/>
      <c r="I47" s="231"/>
      <c r="J47" s="231"/>
      <c r="K47" s="231"/>
      <c r="L47" s="231">
        <f>+G47+I47-K47</f>
        <v>23540716005</v>
      </c>
      <c r="M47" s="232">
        <v>25015660280</v>
      </c>
      <c r="N47" s="233">
        <f t="shared" si="8"/>
        <v>-1474944275</v>
      </c>
      <c r="O47" s="690">
        <f t="shared" si="9"/>
        <v>-6.2655030317970137E-2</v>
      </c>
      <c r="P47" s="223"/>
      <c r="R47" s="515">
        <f>'BEBAN PERSEDIAAN'!G121</f>
        <v>23540716005</v>
      </c>
      <c r="S47" s="642">
        <f t="shared" ref="S47:S51" si="11">+G47-R47</f>
        <v>0</v>
      </c>
    </row>
    <row r="48" spans="1:36" x14ac:dyDescent="0.3">
      <c r="A48" s="225"/>
      <c r="B48" s="267" t="s">
        <v>417</v>
      </c>
      <c r="C48" s="227" t="s">
        <v>142</v>
      </c>
      <c r="D48" s="228" t="e">
        <f>'BEBAN JASA'!#REF!</f>
        <v>#REF!</v>
      </c>
      <c r="E48" s="228">
        <f>'BEBAN JASA'!C56</f>
        <v>14845003125</v>
      </c>
      <c r="F48" s="229"/>
      <c r="G48" s="230">
        <f>'BEBAN JASA'!G56+'BEBAN PREMI ASURANSI'!G17+'BEBAN SEWA'!G45+NERACA!P29</f>
        <v>21074633620.833332</v>
      </c>
      <c r="H48" s="231"/>
      <c r="I48" s="231"/>
      <c r="J48" s="231"/>
      <c r="K48" s="231"/>
      <c r="L48" s="231">
        <f>+G48+I48-K48</f>
        <v>21074633620.833332</v>
      </c>
      <c r="M48" s="232">
        <v>25318823375.916668</v>
      </c>
      <c r="N48" s="233">
        <f t="shared" si="8"/>
        <v>-4244189755.0833359</v>
      </c>
      <c r="O48" s="690">
        <f t="shared" si="9"/>
        <v>-0.20138854280663468</v>
      </c>
      <c r="P48" s="223"/>
      <c r="R48" s="515">
        <f>'BEBAN JASA'!G56+'BEBAN PREMI ASURANSI'!G17+'BEBAN SEWA'!G45+NERACA!P30</f>
        <v>21074633620.833332</v>
      </c>
      <c r="S48" s="642">
        <f t="shared" si="11"/>
        <v>0</v>
      </c>
    </row>
    <row r="49" spans="1:19" x14ac:dyDescent="0.3">
      <c r="A49" s="225"/>
      <c r="B49" s="267" t="s">
        <v>417</v>
      </c>
      <c r="C49" s="227" t="s">
        <v>143</v>
      </c>
      <c r="D49" s="228">
        <f>'BEBAN PEMELIHARAAN'!C26</f>
        <v>8470486790</v>
      </c>
      <c r="E49" s="228">
        <f>'BEBAN PEMELIHARAAN'!D26</f>
        <v>0</v>
      </c>
      <c r="F49" s="229"/>
      <c r="G49" s="230">
        <f>'BEBAN PEMELIHARAAN'!G26</f>
        <v>8470486790</v>
      </c>
      <c r="H49" s="231"/>
      <c r="I49" s="231"/>
      <c r="J49" s="231"/>
      <c r="K49" s="231"/>
      <c r="L49" s="231">
        <f>+G49+I49-K49</f>
        <v>8470486790</v>
      </c>
      <c r="M49" s="232">
        <v>13186729791</v>
      </c>
      <c r="N49" s="233">
        <f t="shared" si="8"/>
        <v>-4716243001</v>
      </c>
      <c r="O49" s="690">
        <f t="shared" si="9"/>
        <v>-0.5567853557800071</v>
      </c>
      <c r="P49" s="223"/>
      <c r="R49" s="515">
        <f>'BEBAN PEMELIHARAAN'!G26</f>
        <v>8470486790</v>
      </c>
      <c r="S49" s="642">
        <f t="shared" si="11"/>
        <v>0</v>
      </c>
    </row>
    <row r="50" spans="1:19" x14ac:dyDescent="0.3">
      <c r="A50" s="225"/>
      <c r="B50" s="267" t="s">
        <v>417</v>
      </c>
      <c r="C50" s="227" t="s">
        <v>144</v>
      </c>
      <c r="D50" s="228">
        <f>'BEBAN PERJALANAN DINAS'!C14</f>
        <v>27755343078</v>
      </c>
      <c r="E50" s="228">
        <f>'BEBAN PERJALANAN DINAS'!D14</f>
        <v>0</v>
      </c>
      <c r="F50" s="229"/>
      <c r="G50" s="230">
        <f>'BEBAN PERJALANAN DINAS'!G14</f>
        <v>27755343078</v>
      </c>
      <c r="H50" s="231"/>
      <c r="I50" s="231"/>
      <c r="J50" s="231"/>
      <c r="K50" s="231"/>
      <c r="L50" s="231">
        <f>+G50+I50-K50</f>
        <v>27755343078</v>
      </c>
      <c r="M50" s="232">
        <v>36290534376</v>
      </c>
      <c r="N50" s="233">
        <f t="shared" si="8"/>
        <v>-8535191298</v>
      </c>
      <c r="O50" s="690">
        <f t="shared" si="9"/>
        <v>-0.30751525117213685</v>
      </c>
      <c r="P50" s="223"/>
      <c r="R50" s="515">
        <f>+'BEBAN PERJALANAN DINAS'!G14</f>
        <v>27755343078</v>
      </c>
      <c r="S50" s="642">
        <f t="shared" si="11"/>
        <v>0</v>
      </c>
    </row>
    <row r="51" spans="1:19" x14ac:dyDescent="0.3">
      <c r="A51" s="225"/>
      <c r="B51" s="267" t="s">
        <v>417</v>
      </c>
      <c r="C51" s="227" t="s">
        <v>475</v>
      </c>
      <c r="D51" s="228">
        <f>'BEBAN LAIN-LAIN'!C34</f>
        <v>85500000</v>
      </c>
      <c r="E51" s="228">
        <f>'BEBAN LAIN-LAIN'!D34</f>
        <v>0</v>
      </c>
      <c r="F51" s="229"/>
      <c r="G51" s="230">
        <f>'BEBAN LAIN-LAIN'!G34</f>
        <v>85500000</v>
      </c>
      <c r="H51" s="231"/>
      <c r="I51" s="231"/>
      <c r="J51" s="231"/>
      <c r="K51" s="231"/>
      <c r="L51" s="231"/>
      <c r="M51" s="232">
        <v>800848200</v>
      </c>
      <c r="N51" s="233">
        <f t="shared" si="8"/>
        <v>-715348200</v>
      </c>
      <c r="O51" s="690">
        <f t="shared" si="9"/>
        <v>-8.3666456140350878</v>
      </c>
      <c r="P51" s="223"/>
      <c r="R51" s="515">
        <f>'BEBAN LAIN-LAIN'!G34</f>
        <v>85500000</v>
      </c>
      <c r="S51" s="642">
        <f t="shared" si="11"/>
        <v>0</v>
      </c>
    </row>
    <row r="52" spans="1:19" x14ac:dyDescent="0.3">
      <c r="A52" s="225">
        <v>32</v>
      </c>
      <c r="B52" s="657" t="s">
        <v>474</v>
      </c>
      <c r="C52" s="658"/>
      <c r="D52" s="228"/>
      <c r="E52" s="228"/>
      <c r="F52" s="229"/>
      <c r="G52" s="230"/>
      <c r="H52" s="231"/>
      <c r="I52" s="231"/>
      <c r="J52" s="231"/>
      <c r="K52" s="231"/>
      <c r="L52" s="231"/>
      <c r="M52" s="640"/>
      <c r="N52" s="233"/>
      <c r="O52" s="234"/>
      <c r="P52" s="223"/>
    </row>
    <row r="53" spans="1:19" x14ac:dyDescent="0.3">
      <c r="A53" s="225">
        <v>33</v>
      </c>
      <c r="B53" s="657" t="s">
        <v>473</v>
      </c>
      <c r="C53" s="658"/>
      <c r="D53" s="228"/>
      <c r="E53" s="228"/>
      <c r="F53" s="229"/>
      <c r="G53" s="230"/>
      <c r="H53" s="231"/>
      <c r="I53" s="231"/>
      <c r="J53" s="231"/>
      <c r="K53" s="231"/>
      <c r="L53" s="231"/>
      <c r="M53" s="640"/>
      <c r="N53" s="233"/>
      <c r="O53" s="234"/>
      <c r="P53" s="223"/>
    </row>
    <row r="54" spans="1:19" x14ac:dyDescent="0.3">
      <c r="A54" s="225">
        <v>34</v>
      </c>
      <c r="B54" s="657" t="s">
        <v>472</v>
      </c>
      <c r="C54" s="658"/>
      <c r="D54" s="228"/>
      <c r="E54" s="228"/>
      <c r="F54" s="229"/>
      <c r="G54" s="230"/>
      <c r="H54" s="231"/>
      <c r="I54" s="231"/>
      <c r="J54" s="231"/>
      <c r="K54" s="231"/>
      <c r="L54" s="231"/>
      <c r="M54" s="640"/>
      <c r="N54" s="233"/>
      <c r="O54" s="234"/>
      <c r="P54" s="223"/>
    </row>
    <row r="55" spans="1:19" x14ac:dyDescent="0.3">
      <c r="A55" s="225">
        <v>35</v>
      </c>
      <c r="B55" s="657" t="s">
        <v>471</v>
      </c>
      <c r="C55" s="658"/>
      <c r="D55" s="228"/>
      <c r="E55" s="228"/>
      <c r="F55" s="229"/>
      <c r="G55" s="230"/>
      <c r="H55" s="231"/>
      <c r="I55" s="231"/>
      <c r="J55" s="231"/>
      <c r="K55" s="231"/>
      <c r="L55" s="231"/>
      <c r="M55" s="640"/>
      <c r="N55" s="233"/>
      <c r="O55" s="234"/>
      <c r="P55" s="223"/>
    </row>
    <row r="56" spans="1:19" x14ac:dyDescent="0.3">
      <c r="A56" s="225">
        <v>36</v>
      </c>
      <c r="B56" s="234" t="s">
        <v>470</v>
      </c>
      <c r="C56" s="227"/>
      <c r="D56" s="648">
        <f>SUM(D57:D59)</f>
        <v>0</v>
      </c>
      <c r="E56" s="648">
        <f>SUM(E57:E59)</f>
        <v>0</v>
      </c>
      <c r="F56" s="648"/>
      <c r="G56" s="649">
        <f t="shared" ref="G56:N56" si="12">SUM(G57:G59)</f>
        <v>10929927643.07</v>
      </c>
      <c r="H56" s="649">
        <f t="shared" si="12"/>
        <v>0</v>
      </c>
      <c r="I56" s="649">
        <f t="shared" si="12"/>
        <v>0</v>
      </c>
      <c r="J56" s="649">
        <f t="shared" si="12"/>
        <v>0</v>
      </c>
      <c r="K56" s="649">
        <f t="shared" si="12"/>
        <v>0</v>
      </c>
      <c r="L56" s="649">
        <f t="shared" si="12"/>
        <v>0</v>
      </c>
      <c r="M56" s="649">
        <f t="shared" si="12"/>
        <v>12293482423.34</v>
      </c>
      <c r="N56" s="648">
        <f t="shared" si="12"/>
        <v>-1363554780.2700005</v>
      </c>
      <c r="O56" s="690">
        <f t="shared" ref="O56:O57" si="13">+N56/G56</f>
        <v>-0.12475423669749061</v>
      </c>
      <c r="P56" s="223"/>
    </row>
    <row r="57" spans="1:19" x14ac:dyDescent="0.3">
      <c r="A57" s="225"/>
      <c r="B57" s="643" t="s">
        <v>417</v>
      </c>
      <c r="C57" s="227" t="s">
        <v>469</v>
      </c>
      <c r="D57" s="229"/>
      <c r="E57" s="648"/>
      <c r="F57" s="229"/>
      <c r="G57" s="232">
        <f>+'SUSUT &amp; AMOR'!J24</f>
        <v>10929927643.07</v>
      </c>
      <c r="H57" s="232"/>
      <c r="I57" s="232"/>
      <c r="J57" s="232"/>
      <c r="K57" s="232"/>
      <c r="L57" s="232"/>
      <c r="M57" s="232">
        <v>10216346771.59</v>
      </c>
      <c r="N57" s="233">
        <f t="shared" si="8"/>
        <v>713580871.47999954</v>
      </c>
      <c r="O57" s="690">
        <f t="shared" si="13"/>
        <v>6.5286879729019767E-2</v>
      </c>
      <c r="P57" s="223"/>
    </row>
    <row r="58" spans="1:19" x14ac:dyDescent="0.3">
      <c r="A58" s="225"/>
      <c r="B58" s="643" t="s">
        <v>417</v>
      </c>
      <c r="C58" s="227" t="s">
        <v>832</v>
      </c>
      <c r="D58" s="229"/>
      <c r="E58" s="648"/>
      <c r="F58" s="229"/>
      <c r="G58" s="232">
        <f>'SUSUT &amp; AMOR'!J35</f>
        <v>0</v>
      </c>
      <c r="H58" s="232"/>
      <c r="I58" s="232"/>
      <c r="J58" s="232"/>
      <c r="K58" s="232"/>
      <c r="L58" s="232"/>
      <c r="M58" s="232">
        <v>0</v>
      </c>
      <c r="N58" s="233">
        <f t="shared" si="8"/>
        <v>0</v>
      </c>
      <c r="O58" s="234"/>
      <c r="P58" s="223"/>
    </row>
    <row r="59" spans="1:19" x14ac:dyDescent="0.3">
      <c r="A59" s="225"/>
      <c r="B59" s="643" t="s">
        <v>417</v>
      </c>
      <c r="C59" s="227" t="s">
        <v>831</v>
      </c>
      <c r="D59" s="229"/>
      <c r="E59" s="648"/>
      <c r="F59" s="229"/>
      <c r="G59" s="235">
        <v>0</v>
      </c>
      <c r="H59" s="640"/>
      <c r="I59" s="640"/>
      <c r="J59" s="640"/>
      <c r="K59" s="640"/>
      <c r="L59" s="231"/>
      <c r="M59" s="235">
        <v>2077135651.75</v>
      </c>
      <c r="N59" s="233">
        <f t="shared" si="8"/>
        <v>-2077135651.75</v>
      </c>
      <c r="O59" s="690">
        <v>-100</v>
      </c>
      <c r="P59" s="223"/>
    </row>
    <row r="60" spans="1:19" x14ac:dyDescent="0.3">
      <c r="A60" s="225">
        <v>37</v>
      </c>
      <c r="B60" s="643" t="s">
        <v>134</v>
      </c>
      <c r="C60" s="227"/>
      <c r="D60" s="648">
        <f>SUM(D61:D65)</f>
        <v>0</v>
      </c>
      <c r="E60" s="648">
        <f>SUM(E61:E65)</f>
        <v>0</v>
      </c>
      <c r="F60" s="648"/>
      <c r="G60" s="659">
        <f t="shared" ref="G60:N60" si="14">SUM(G61:G65)</f>
        <v>0</v>
      </c>
      <c r="H60" s="659">
        <f t="shared" si="14"/>
        <v>0</v>
      </c>
      <c r="I60" s="659">
        <f t="shared" si="14"/>
        <v>0</v>
      </c>
      <c r="J60" s="659">
        <f t="shared" si="14"/>
        <v>0</v>
      </c>
      <c r="K60" s="659">
        <f t="shared" si="14"/>
        <v>0</v>
      </c>
      <c r="L60" s="659">
        <f t="shared" si="14"/>
        <v>0</v>
      </c>
      <c r="M60" s="659">
        <f t="shared" si="14"/>
        <v>0</v>
      </c>
      <c r="N60" s="659">
        <f t="shared" si="14"/>
        <v>0</v>
      </c>
      <c r="O60" s="234"/>
      <c r="P60" s="223"/>
    </row>
    <row r="61" spans="1:19" x14ac:dyDescent="0.3">
      <c r="A61" s="225"/>
      <c r="B61" s="267"/>
      <c r="C61" s="227" t="s">
        <v>145</v>
      </c>
      <c r="D61" s="229"/>
      <c r="E61" s="229"/>
      <c r="F61" s="229"/>
      <c r="G61" s="235">
        <f>-(NERACA!N28-NERACA!P28)</f>
        <v>0</v>
      </c>
      <c r="H61" s="640"/>
      <c r="I61" s="640"/>
      <c r="J61" s="640"/>
      <c r="K61" s="640"/>
      <c r="L61" s="231">
        <f>+G61+I61-K61</f>
        <v>0</v>
      </c>
      <c r="M61" s="232"/>
      <c r="N61" s="233">
        <f t="shared" si="8"/>
        <v>0</v>
      </c>
      <c r="O61" s="234"/>
      <c r="P61" s="223"/>
    </row>
    <row r="62" spans="1:19" x14ac:dyDescent="0.3">
      <c r="A62" s="225"/>
      <c r="B62" s="267"/>
      <c r="C62" s="227" t="s">
        <v>301</v>
      </c>
      <c r="D62" s="229"/>
      <c r="E62" s="648">
        <v>0</v>
      </c>
      <c r="F62" s="229"/>
      <c r="G62" s="235">
        <v>0</v>
      </c>
      <c r="H62" s="640"/>
      <c r="I62" s="640"/>
      <c r="J62" s="640"/>
      <c r="K62" s="640"/>
      <c r="L62" s="231"/>
      <c r="M62" s="232"/>
      <c r="N62" s="233"/>
      <c r="O62" s="234"/>
      <c r="P62" s="223"/>
    </row>
    <row r="63" spans="1:19" x14ac:dyDescent="0.3">
      <c r="A63" s="225"/>
      <c r="B63" s="267"/>
      <c r="C63" s="227" t="s">
        <v>373</v>
      </c>
      <c r="D63" s="229"/>
      <c r="E63" s="229"/>
      <c r="F63" s="229"/>
      <c r="G63" s="235"/>
      <c r="H63" s="640"/>
      <c r="I63" s="640"/>
      <c r="J63" s="640"/>
      <c r="K63" s="640"/>
      <c r="L63" s="231"/>
      <c r="M63" s="232">
        <v>0</v>
      </c>
      <c r="N63" s="233"/>
      <c r="O63" s="234"/>
      <c r="P63" s="223"/>
    </row>
    <row r="64" spans="1:19" x14ac:dyDescent="0.3">
      <c r="A64" s="225"/>
      <c r="B64" s="267"/>
      <c r="C64" s="227" t="s">
        <v>374</v>
      </c>
      <c r="D64" s="229"/>
      <c r="E64" s="229"/>
      <c r="F64" s="229"/>
      <c r="G64" s="235">
        <f>'ASET LAINNYA'!AB44</f>
        <v>0</v>
      </c>
      <c r="H64" s="640"/>
      <c r="I64" s="640"/>
      <c r="J64" s="640"/>
      <c r="K64" s="640"/>
      <c r="L64" s="231"/>
      <c r="M64" s="232"/>
      <c r="N64" s="233">
        <f t="shared" si="8"/>
        <v>0</v>
      </c>
      <c r="O64" s="234"/>
      <c r="P64" s="223"/>
    </row>
    <row r="65" spans="1:36" x14ac:dyDescent="0.3">
      <c r="A65" s="225"/>
      <c r="B65" s="267"/>
      <c r="C65" s="227" t="s">
        <v>134</v>
      </c>
      <c r="D65" s="228"/>
      <c r="E65" s="228"/>
      <c r="F65" s="229"/>
      <c r="G65" s="230"/>
      <c r="H65" s="231"/>
      <c r="I65" s="231"/>
      <c r="J65" s="231"/>
      <c r="K65" s="231"/>
      <c r="L65" s="231">
        <f>+G65+I65-K65</f>
        <v>0</v>
      </c>
      <c r="M65" s="640"/>
      <c r="N65" s="233">
        <f t="shared" si="8"/>
        <v>0</v>
      </c>
      <c r="O65" s="234"/>
      <c r="P65" s="223"/>
    </row>
    <row r="66" spans="1:36" s="266" customFormat="1" x14ac:dyDescent="0.3">
      <c r="A66" s="225">
        <v>38</v>
      </c>
      <c r="B66" s="267"/>
      <c r="C66" s="268" t="s">
        <v>499</v>
      </c>
      <c r="D66" s="271" t="e">
        <f>D45+D46+D52+D53+D54+D55+D56+D60</f>
        <v>#REF!</v>
      </c>
      <c r="E66" s="271">
        <f>E45+E46+E52+E53+E54+E55+E56+E60</f>
        <v>38400151255</v>
      </c>
      <c r="F66" s="271"/>
      <c r="G66" s="647">
        <f t="shared" ref="G66:N66" si="15">G45+G46+G52+G53+G54+G55+G56+G60</f>
        <v>192264011310.90332</v>
      </c>
      <c r="H66" s="647">
        <f t="shared" si="15"/>
        <v>0</v>
      </c>
      <c r="I66" s="647">
        <f t="shared" si="15"/>
        <v>0</v>
      </c>
      <c r="J66" s="647">
        <f t="shared" si="15"/>
        <v>0</v>
      </c>
      <c r="K66" s="647">
        <f t="shared" si="15"/>
        <v>0</v>
      </c>
      <c r="L66" s="647">
        <f t="shared" si="15"/>
        <v>181248583667.83331</v>
      </c>
      <c r="M66" s="647">
        <f t="shared" si="15"/>
        <v>259195257499.25668</v>
      </c>
      <c r="N66" s="647">
        <f t="shared" si="15"/>
        <v>-66931246188.353333</v>
      </c>
      <c r="O66" s="691">
        <f>+N66/G66</f>
        <v>-0.34812155292090097</v>
      </c>
      <c r="P66" s="265"/>
      <c r="R66" s="516"/>
      <c r="T66" s="516"/>
      <c r="U66" s="516"/>
      <c r="V66" s="516"/>
      <c r="W66" s="516"/>
      <c r="X66" s="516"/>
      <c r="Y66" s="516"/>
      <c r="Z66" s="516"/>
      <c r="AA66" s="516"/>
      <c r="AB66" s="516"/>
      <c r="AC66" s="516"/>
      <c r="AD66" s="516"/>
      <c r="AE66" s="516"/>
      <c r="AF66" s="516"/>
      <c r="AG66" s="516"/>
      <c r="AH66" s="516"/>
      <c r="AI66" s="516"/>
      <c r="AJ66" s="516"/>
    </row>
    <row r="67" spans="1:36" s="266" customFormat="1" x14ac:dyDescent="0.3">
      <c r="A67" s="225"/>
      <c r="B67" s="267"/>
      <c r="C67" s="268"/>
      <c r="D67" s="271"/>
      <c r="E67" s="271"/>
      <c r="F67" s="272"/>
      <c r="G67" s="262"/>
      <c r="H67" s="263"/>
      <c r="I67" s="263"/>
      <c r="J67" s="263"/>
      <c r="K67" s="263"/>
      <c r="L67" s="263"/>
      <c r="M67" s="263"/>
      <c r="N67" s="264"/>
      <c r="O67" s="259"/>
      <c r="P67" s="265"/>
      <c r="R67" s="516"/>
      <c r="T67" s="516"/>
      <c r="U67" s="516"/>
      <c r="V67" s="516"/>
      <c r="W67" s="516"/>
      <c r="X67" s="516"/>
      <c r="Y67" s="516"/>
      <c r="Z67" s="516"/>
      <c r="AA67" s="516"/>
      <c r="AB67" s="516"/>
      <c r="AC67" s="516"/>
      <c r="AD67" s="516"/>
      <c r="AE67" s="516"/>
      <c r="AF67" s="516"/>
      <c r="AG67" s="516"/>
      <c r="AH67" s="516"/>
      <c r="AI67" s="516"/>
      <c r="AJ67" s="516"/>
    </row>
    <row r="68" spans="1:36" s="266" customFormat="1" ht="12.75" x14ac:dyDescent="0.2">
      <c r="A68" s="269">
        <v>39</v>
      </c>
      <c r="B68" s="270" t="s">
        <v>302</v>
      </c>
      <c r="C68" s="260"/>
      <c r="D68" s="271"/>
      <c r="E68" s="271"/>
      <c r="F68" s="272"/>
      <c r="G68" s="262"/>
      <c r="H68" s="263"/>
      <c r="I68" s="263"/>
      <c r="J68" s="263"/>
      <c r="K68" s="263"/>
      <c r="L68" s="263"/>
      <c r="M68" s="263"/>
      <c r="N68" s="264"/>
      <c r="O68" s="259"/>
      <c r="P68" s="265"/>
      <c r="R68" s="516"/>
      <c r="T68" s="516"/>
      <c r="U68" s="516"/>
      <c r="V68" s="516"/>
      <c r="W68" s="516"/>
      <c r="X68" s="516"/>
      <c r="Y68" s="516"/>
      <c r="Z68" s="516"/>
      <c r="AA68" s="516"/>
      <c r="AB68" s="516"/>
      <c r="AC68" s="516"/>
      <c r="AD68" s="516"/>
      <c r="AE68" s="516"/>
      <c r="AF68" s="516"/>
      <c r="AG68" s="516"/>
      <c r="AH68" s="516"/>
      <c r="AI68" s="516"/>
      <c r="AJ68" s="516"/>
    </row>
    <row r="69" spans="1:36" s="266" customFormat="1" x14ac:dyDescent="0.3">
      <c r="A69" s="225">
        <v>40</v>
      </c>
      <c r="B69" s="657" t="s">
        <v>303</v>
      </c>
      <c r="C69" s="227"/>
      <c r="D69" s="271"/>
      <c r="E69" s="271"/>
      <c r="F69" s="272"/>
      <c r="G69" s="262"/>
      <c r="H69" s="263"/>
      <c r="I69" s="263"/>
      <c r="J69" s="263"/>
      <c r="K69" s="263"/>
      <c r="L69" s="263"/>
      <c r="M69" s="263"/>
      <c r="N69" s="233">
        <f t="shared" ref="N69:N74" si="16">G69-M69</f>
        <v>0</v>
      </c>
      <c r="O69" s="259"/>
      <c r="P69" s="265"/>
      <c r="R69" s="516"/>
      <c r="T69" s="516"/>
      <c r="U69" s="516"/>
      <c r="V69" s="516"/>
      <c r="W69" s="516"/>
      <c r="X69" s="516"/>
      <c r="Y69" s="516"/>
      <c r="Z69" s="516"/>
      <c r="AA69" s="516"/>
      <c r="AB69" s="516"/>
      <c r="AC69" s="516"/>
      <c r="AD69" s="516"/>
      <c r="AE69" s="516"/>
      <c r="AF69" s="516"/>
      <c r="AG69" s="516"/>
      <c r="AH69" s="516"/>
      <c r="AI69" s="516"/>
      <c r="AJ69" s="516"/>
    </row>
    <row r="70" spans="1:36" s="266" customFormat="1" x14ac:dyDescent="0.3">
      <c r="A70" s="225">
        <v>41</v>
      </c>
      <c r="B70" s="657" t="s">
        <v>304</v>
      </c>
      <c r="C70" s="227"/>
      <c r="D70" s="271"/>
      <c r="E70" s="271"/>
      <c r="F70" s="272"/>
      <c r="G70" s="262"/>
      <c r="H70" s="263"/>
      <c r="I70" s="263"/>
      <c r="J70" s="263"/>
      <c r="K70" s="263"/>
      <c r="L70" s="263"/>
      <c r="M70" s="263"/>
      <c r="N70" s="233">
        <f t="shared" si="16"/>
        <v>0</v>
      </c>
      <c r="O70" s="259"/>
      <c r="P70" s="265"/>
      <c r="R70" s="516"/>
      <c r="T70" s="516"/>
      <c r="U70" s="516"/>
      <c r="V70" s="516"/>
      <c r="W70" s="516"/>
      <c r="X70" s="516"/>
      <c r="Y70" s="516"/>
      <c r="Z70" s="516"/>
      <c r="AA70" s="516"/>
      <c r="AB70" s="516"/>
      <c r="AC70" s="516"/>
      <c r="AD70" s="516"/>
      <c r="AE70" s="516"/>
      <c r="AF70" s="516"/>
      <c r="AG70" s="516"/>
      <c r="AH70" s="516"/>
      <c r="AI70" s="516"/>
      <c r="AJ70" s="516"/>
    </row>
    <row r="71" spans="1:36" s="266" customFormat="1" x14ac:dyDescent="0.3">
      <c r="A71" s="225">
        <v>42</v>
      </c>
      <c r="B71" s="657" t="s">
        <v>305</v>
      </c>
      <c r="C71" s="227"/>
      <c r="D71" s="271"/>
      <c r="E71" s="271"/>
      <c r="F71" s="272"/>
      <c r="G71" s="262"/>
      <c r="H71" s="263"/>
      <c r="I71" s="263"/>
      <c r="J71" s="263"/>
      <c r="K71" s="263"/>
      <c r="L71" s="263"/>
      <c r="M71" s="263"/>
      <c r="N71" s="233">
        <f t="shared" si="16"/>
        <v>0</v>
      </c>
      <c r="O71" s="259"/>
      <c r="P71" s="265"/>
      <c r="R71" s="516"/>
      <c r="T71" s="516"/>
      <c r="U71" s="516"/>
      <c r="V71" s="516"/>
      <c r="W71" s="516"/>
      <c r="X71" s="516"/>
      <c r="Y71" s="516"/>
      <c r="Z71" s="516"/>
      <c r="AA71" s="516"/>
      <c r="AB71" s="516"/>
      <c r="AC71" s="516"/>
      <c r="AD71" s="516"/>
      <c r="AE71" s="516"/>
      <c r="AF71" s="516"/>
      <c r="AG71" s="516"/>
      <c r="AH71" s="516"/>
      <c r="AI71" s="516"/>
      <c r="AJ71" s="516"/>
    </row>
    <row r="72" spans="1:36" s="266" customFormat="1" x14ac:dyDescent="0.3">
      <c r="A72" s="225">
        <v>43</v>
      </c>
      <c r="B72" s="657" t="s">
        <v>306</v>
      </c>
      <c r="C72" s="227"/>
      <c r="D72" s="271"/>
      <c r="E72" s="271"/>
      <c r="F72" s="272"/>
      <c r="G72" s="262"/>
      <c r="H72" s="263"/>
      <c r="I72" s="263"/>
      <c r="J72" s="263"/>
      <c r="K72" s="263"/>
      <c r="L72" s="263"/>
      <c r="M72" s="263"/>
      <c r="N72" s="233">
        <f t="shared" si="16"/>
        <v>0</v>
      </c>
      <c r="O72" s="259"/>
      <c r="P72" s="265"/>
      <c r="R72" s="516"/>
      <c r="T72" s="516"/>
      <c r="U72" s="516"/>
      <c r="V72" s="516"/>
      <c r="W72" s="516"/>
      <c r="X72" s="516"/>
      <c r="Y72" s="516"/>
      <c r="Z72" s="516"/>
      <c r="AA72" s="516"/>
      <c r="AB72" s="516"/>
      <c r="AC72" s="516"/>
      <c r="AD72" s="516"/>
      <c r="AE72" s="516"/>
      <c r="AF72" s="516"/>
      <c r="AG72" s="516"/>
      <c r="AH72" s="516"/>
      <c r="AI72" s="516"/>
      <c r="AJ72" s="516"/>
    </row>
    <row r="73" spans="1:36" s="266" customFormat="1" x14ac:dyDescent="0.3">
      <c r="A73" s="225">
        <v>44</v>
      </c>
      <c r="B73" s="657" t="s">
        <v>307</v>
      </c>
      <c r="C73" s="227"/>
      <c r="D73" s="271"/>
      <c r="E73" s="271"/>
      <c r="F73" s="272"/>
      <c r="G73" s="262"/>
      <c r="H73" s="263"/>
      <c r="I73" s="263"/>
      <c r="J73" s="263"/>
      <c r="K73" s="263"/>
      <c r="L73" s="263"/>
      <c r="M73" s="263"/>
      <c r="N73" s="233">
        <f t="shared" si="16"/>
        <v>0</v>
      </c>
      <c r="O73" s="259"/>
      <c r="P73" s="265"/>
      <c r="R73" s="516"/>
      <c r="T73" s="516"/>
      <c r="U73" s="516"/>
      <c r="V73" s="516"/>
      <c r="W73" s="516"/>
      <c r="X73" s="516"/>
      <c r="Y73" s="516"/>
      <c r="Z73" s="516"/>
      <c r="AA73" s="516"/>
      <c r="AB73" s="516"/>
      <c r="AC73" s="516"/>
      <c r="AD73" s="516"/>
      <c r="AE73" s="516"/>
      <c r="AF73" s="516"/>
      <c r="AG73" s="516"/>
      <c r="AH73" s="516"/>
      <c r="AI73" s="516"/>
      <c r="AJ73" s="516"/>
    </row>
    <row r="74" spans="1:36" s="266" customFormat="1" x14ac:dyDescent="0.3">
      <c r="A74" s="225">
        <v>45</v>
      </c>
      <c r="B74" s="657" t="s">
        <v>308</v>
      </c>
      <c r="C74" s="227"/>
      <c r="D74" s="271"/>
      <c r="E74" s="271"/>
      <c r="F74" s="272"/>
      <c r="G74" s="262"/>
      <c r="H74" s="263"/>
      <c r="I74" s="263"/>
      <c r="J74" s="263"/>
      <c r="K74" s="263"/>
      <c r="L74" s="263"/>
      <c r="M74" s="263"/>
      <c r="N74" s="233">
        <f t="shared" si="16"/>
        <v>0</v>
      </c>
      <c r="O74" s="259"/>
      <c r="P74" s="265"/>
      <c r="R74" s="516"/>
      <c r="T74" s="516"/>
      <c r="U74" s="516"/>
      <c r="V74" s="516"/>
      <c r="W74" s="516"/>
      <c r="X74" s="516"/>
      <c r="Y74" s="516"/>
      <c r="Z74" s="516"/>
      <c r="AA74" s="516"/>
      <c r="AB74" s="516"/>
      <c r="AC74" s="516"/>
      <c r="AD74" s="516"/>
      <c r="AE74" s="516"/>
      <c r="AF74" s="516"/>
      <c r="AG74" s="516"/>
      <c r="AH74" s="516"/>
      <c r="AI74" s="516"/>
      <c r="AJ74" s="516"/>
    </row>
    <row r="75" spans="1:36" s="266" customFormat="1" x14ac:dyDescent="0.3">
      <c r="A75" s="225">
        <v>46</v>
      </c>
      <c r="B75" s="267"/>
      <c r="C75" s="268" t="s">
        <v>500</v>
      </c>
      <c r="D75" s="271">
        <f>SUM(D69:D74)</f>
        <v>0</v>
      </c>
      <c r="E75" s="271">
        <f>SUM(E69:E74)</f>
        <v>0</v>
      </c>
      <c r="F75" s="271"/>
      <c r="G75" s="271">
        <f t="shared" ref="G75:N75" si="17">SUM(G69:G74)</f>
        <v>0</v>
      </c>
      <c r="H75" s="271">
        <f t="shared" si="17"/>
        <v>0</v>
      </c>
      <c r="I75" s="271">
        <f t="shared" si="17"/>
        <v>0</v>
      </c>
      <c r="J75" s="271">
        <f t="shared" si="17"/>
        <v>0</v>
      </c>
      <c r="K75" s="271">
        <f t="shared" si="17"/>
        <v>0</v>
      </c>
      <c r="L75" s="271">
        <f t="shared" si="17"/>
        <v>0</v>
      </c>
      <c r="M75" s="271">
        <f t="shared" si="17"/>
        <v>0</v>
      </c>
      <c r="N75" s="271">
        <f t="shared" si="17"/>
        <v>0</v>
      </c>
      <c r="O75" s="259"/>
      <c r="P75" s="265"/>
      <c r="R75" s="516"/>
      <c r="T75" s="516"/>
      <c r="U75" s="516"/>
      <c r="V75" s="516"/>
      <c r="W75" s="516"/>
      <c r="X75" s="516"/>
      <c r="Y75" s="516"/>
      <c r="Z75" s="516"/>
      <c r="AA75" s="516"/>
      <c r="AB75" s="516"/>
      <c r="AC75" s="516"/>
      <c r="AD75" s="516"/>
      <c r="AE75" s="516"/>
      <c r="AF75" s="516"/>
      <c r="AG75" s="516"/>
      <c r="AH75" s="516"/>
      <c r="AI75" s="516"/>
      <c r="AJ75" s="516"/>
    </row>
    <row r="76" spans="1:36" s="266" customFormat="1" x14ac:dyDescent="0.3">
      <c r="A76" s="225"/>
      <c r="B76" s="267"/>
      <c r="C76" s="268"/>
      <c r="D76" s="271"/>
      <c r="E76" s="271"/>
      <c r="F76" s="271"/>
      <c r="G76" s="647"/>
      <c r="H76" s="263"/>
      <c r="I76" s="263"/>
      <c r="J76" s="263"/>
      <c r="K76" s="263"/>
      <c r="L76" s="263"/>
      <c r="M76" s="263"/>
      <c r="N76" s="264"/>
      <c r="O76" s="259"/>
      <c r="P76" s="265"/>
      <c r="R76" s="516"/>
      <c r="T76" s="516"/>
      <c r="U76" s="516"/>
      <c r="V76" s="516"/>
      <c r="W76" s="516"/>
      <c r="X76" s="516"/>
      <c r="Y76" s="516"/>
      <c r="Z76" s="516"/>
      <c r="AA76" s="516"/>
      <c r="AB76" s="516"/>
      <c r="AC76" s="516"/>
      <c r="AD76" s="516"/>
      <c r="AE76" s="516"/>
      <c r="AF76" s="516"/>
      <c r="AG76" s="516"/>
      <c r="AH76" s="516"/>
      <c r="AI76" s="516"/>
      <c r="AJ76" s="516"/>
    </row>
    <row r="77" spans="1:36" s="266" customFormat="1" x14ac:dyDescent="0.3">
      <c r="A77" s="225">
        <v>47</v>
      </c>
      <c r="B77" s="267"/>
      <c r="C77" s="268" t="s">
        <v>501</v>
      </c>
      <c r="D77" s="271" t="e">
        <f>D66+D75</f>
        <v>#REF!</v>
      </c>
      <c r="E77" s="271">
        <f>E66+E75</f>
        <v>38400151255</v>
      </c>
      <c r="F77" s="271"/>
      <c r="G77" s="647">
        <f t="shared" ref="G77:N77" si="18">G66+G75</f>
        <v>192264011310.90332</v>
      </c>
      <c r="H77" s="647">
        <f t="shared" si="18"/>
        <v>0</v>
      </c>
      <c r="I77" s="647">
        <f t="shared" si="18"/>
        <v>0</v>
      </c>
      <c r="J77" s="647">
        <f t="shared" si="18"/>
        <v>0</v>
      </c>
      <c r="K77" s="647">
        <f t="shared" si="18"/>
        <v>0</v>
      </c>
      <c r="L77" s="647">
        <f t="shared" si="18"/>
        <v>181248583667.83331</v>
      </c>
      <c r="M77" s="647">
        <f t="shared" si="18"/>
        <v>259195257499.25668</v>
      </c>
      <c r="N77" s="647">
        <f t="shared" si="18"/>
        <v>-66931246188.353333</v>
      </c>
      <c r="O77" s="691">
        <f>+N77/G77</f>
        <v>-0.34812155292090097</v>
      </c>
      <c r="P77" s="265"/>
      <c r="R77" s="516"/>
      <c r="T77" s="516"/>
      <c r="U77" s="516"/>
      <c r="V77" s="516"/>
      <c r="W77" s="516"/>
      <c r="X77" s="516"/>
      <c r="Y77" s="516"/>
      <c r="Z77" s="516"/>
      <c r="AA77" s="516"/>
      <c r="AB77" s="516"/>
      <c r="AC77" s="516"/>
      <c r="AD77" s="516"/>
      <c r="AE77" s="516"/>
      <c r="AF77" s="516"/>
      <c r="AG77" s="516"/>
      <c r="AH77" s="516"/>
      <c r="AI77" s="516"/>
      <c r="AJ77" s="516"/>
    </row>
    <row r="78" spans="1:36" x14ac:dyDescent="0.3">
      <c r="A78" s="225"/>
      <c r="B78" s="267"/>
      <c r="C78" s="260"/>
      <c r="D78" s="261"/>
      <c r="E78" s="261"/>
      <c r="F78" s="261"/>
      <c r="G78" s="230"/>
      <c r="H78" s="230"/>
      <c r="I78" s="230"/>
      <c r="J78" s="230"/>
      <c r="K78" s="230"/>
      <c r="L78" s="230"/>
      <c r="M78" s="230"/>
      <c r="N78" s="230"/>
      <c r="O78" s="234"/>
      <c r="P78" s="223"/>
    </row>
    <row r="79" spans="1:36" s="266" customFormat="1" x14ac:dyDescent="0.3">
      <c r="A79" s="225">
        <v>54</v>
      </c>
      <c r="B79" s="267"/>
      <c r="C79" s="268" t="s">
        <v>502</v>
      </c>
      <c r="D79" s="263" t="e">
        <f>D41-D77</f>
        <v>#REF!</v>
      </c>
      <c r="E79" s="263">
        <f>E41-E77</f>
        <v>-28504816479</v>
      </c>
      <c r="F79" s="263"/>
      <c r="G79" s="262">
        <f t="shared" ref="G79:N79" si="19">G41-G77</f>
        <v>-190027831310.90332</v>
      </c>
      <c r="H79" s="262">
        <f t="shared" si="19"/>
        <v>0</v>
      </c>
      <c r="I79" s="262">
        <f t="shared" si="19"/>
        <v>0</v>
      </c>
      <c r="J79" s="262">
        <f t="shared" si="19"/>
        <v>0</v>
      </c>
      <c r="K79" s="262">
        <f t="shared" si="19"/>
        <v>0</v>
      </c>
      <c r="L79" s="262">
        <f t="shared" si="19"/>
        <v>-179012403667.83331</v>
      </c>
      <c r="M79" s="262">
        <f t="shared" si="19"/>
        <v>-257255257499.25668</v>
      </c>
      <c r="N79" s="262">
        <f t="shared" si="19"/>
        <v>67227426188.353333</v>
      </c>
      <c r="O79" s="691">
        <f>+N79/G79</f>
        <v>-0.35377673746306648</v>
      </c>
      <c r="P79" s="265"/>
      <c r="R79" s="516"/>
      <c r="T79" s="516"/>
      <c r="U79" s="516"/>
      <c r="V79" s="516"/>
      <c r="W79" s="516"/>
      <c r="X79" s="516"/>
      <c r="Y79" s="516"/>
      <c r="Z79" s="516"/>
      <c r="AA79" s="516"/>
      <c r="AB79" s="516"/>
      <c r="AC79" s="516"/>
      <c r="AD79" s="516"/>
      <c r="AE79" s="516"/>
      <c r="AF79" s="516"/>
      <c r="AG79" s="516"/>
      <c r="AH79" s="516"/>
      <c r="AI79" s="516"/>
      <c r="AJ79" s="516"/>
    </row>
    <row r="80" spans="1:36" x14ac:dyDescent="0.3">
      <c r="A80" s="225"/>
      <c r="B80" s="267"/>
      <c r="C80" s="260"/>
      <c r="D80" s="261"/>
      <c r="E80" s="261"/>
      <c r="F80" s="261"/>
      <c r="G80" s="230"/>
      <c r="H80" s="640"/>
      <c r="I80" s="640"/>
      <c r="J80" s="640"/>
      <c r="K80" s="640"/>
      <c r="L80" s="640"/>
      <c r="M80" s="640"/>
      <c r="N80" s="234"/>
      <c r="O80" s="234"/>
      <c r="P80" s="223"/>
    </row>
    <row r="81" spans="1:36" x14ac:dyDescent="0.3">
      <c r="A81" s="225">
        <v>55</v>
      </c>
      <c r="B81" s="270" t="s">
        <v>161</v>
      </c>
      <c r="C81" s="260"/>
      <c r="D81" s="261"/>
      <c r="E81" s="261"/>
      <c r="F81" s="261"/>
      <c r="G81" s="230"/>
      <c r="H81" s="640"/>
      <c r="I81" s="640"/>
      <c r="J81" s="640"/>
      <c r="K81" s="640"/>
      <c r="L81" s="640"/>
      <c r="M81" s="640"/>
      <c r="N81" s="234"/>
      <c r="O81" s="234"/>
      <c r="P81" s="223"/>
    </row>
    <row r="82" spans="1:36" x14ac:dyDescent="0.3">
      <c r="A82" s="225">
        <v>56</v>
      </c>
      <c r="B82" s="270" t="s">
        <v>309</v>
      </c>
      <c r="C82" s="260"/>
      <c r="D82" s="261"/>
      <c r="E82" s="261"/>
      <c r="F82" s="261"/>
      <c r="G82" s="230"/>
      <c r="H82" s="640"/>
      <c r="I82" s="640"/>
      <c r="J82" s="640"/>
      <c r="K82" s="640"/>
      <c r="L82" s="640"/>
      <c r="M82" s="640"/>
      <c r="N82" s="234"/>
      <c r="O82" s="234"/>
      <c r="P82" s="223"/>
    </row>
    <row r="83" spans="1:36" x14ac:dyDescent="0.3">
      <c r="A83" s="225">
        <v>57</v>
      </c>
      <c r="B83" s="657" t="s">
        <v>158</v>
      </c>
      <c r="C83" s="227"/>
      <c r="D83" s="229"/>
      <c r="E83" s="229"/>
      <c r="F83" s="229"/>
      <c r="G83" s="230"/>
      <c r="H83" s="640"/>
      <c r="I83" s="640"/>
      <c r="J83" s="640"/>
      <c r="K83" s="640"/>
      <c r="L83" s="660">
        <f>+G83+I83-K83</f>
        <v>0</v>
      </c>
      <c r="M83" s="640"/>
      <c r="N83" s="233">
        <f>G83-M83</f>
        <v>0</v>
      </c>
      <c r="O83" s="234"/>
      <c r="P83" s="223"/>
    </row>
    <row r="84" spans="1:36" x14ac:dyDescent="0.3">
      <c r="A84" s="225">
        <v>58</v>
      </c>
      <c r="B84" s="657" t="s">
        <v>159</v>
      </c>
      <c r="C84" s="227"/>
      <c r="D84" s="229"/>
      <c r="E84" s="229"/>
      <c r="F84" s="229"/>
      <c r="G84" s="230"/>
      <c r="H84" s="640"/>
      <c r="I84" s="640"/>
      <c r="J84" s="640"/>
      <c r="K84" s="640"/>
      <c r="L84" s="660">
        <f>+G84+I84-K84</f>
        <v>0</v>
      </c>
      <c r="M84" s="640"/>
      <c r="N84" s="233">
        <f>G84-M84</f>
        <v>0</v>
      </c>
      <c r="O84" s="234"/>
      <c r="P84" s="223"/>
    </row>
    <row r="85" spans="1:36" x14ac:dyDescent="0.3">
      <c r="A85" s="225">
        <v>59</v>
      </c>
      <c r="B85" s="657" t="s">
        <v>160</v>
      </c>
      <c r="C85" s="227"/>
      <c r="D85" s="229"/>
      <c r="E85" s="229"/>
      <c r="F85" s="229"/>
      <c r="G85" s="230"/>
      <c r="H85" s="640"/>
      <c r="I85" s="640"/>
      <c r="J85" s="640"/>
      <c r="K85" s="640"/>
      <c r="L85" s="660"/>
      <c r="M85" s="640"/>
      <c r="N85" s="233">
        <f>G85-M85</f>
        <v>0</v>
      </c>
      <c r="O85" s="234"/>
      <c r="P85" s="223"/>
    </row>
    <row r="86" spans="1:36" x14ac:dyDescent="0.3">
      <c r="A86" s="225">
        <v>60</v>
      </c>
      <c r="B86" s="657" t="s">
        <v>310</v>
      </c>
      <c r="C86" s="227"/>
      <c r="D86" s="229"/>
      <c r="E86" s="229"/>
      <c r="F86" s="229"/>
      <c r="G86" s="230"/>
      <c r="H86" s="640"/>
      <c r="I86" s="640"/>
      <c r="J86" s="640"/>
      <c r="K86" s="640"/>
      <c r="L86" s="660"/>
      <c r="M86" s="640"/>
      <c r="N86" s="233">
        <f>G86-M86</f>
        <v>0</v>
      </c>
      <c r="O86" s="234"/>
      <c r="P86" s="223"/>
    </row>
    <row r="87" spans="1:36" x14ac:dyDescent="0.3">
      <c r="A87" s="225">
        <v>61</v>
      </c>
      <c r="B87" s="657" t="s">
        <v>468</v>
      </c>
      <c r="C87" s="227"/>
      <c r="D87" s="229"/>
      <c r="E87" s="229"/>
      <c r="F87" s="229"/>
      <c r="G87" s="230">
        <v>0</v>
      </c>
      <c r="H87" s="640"/>
      <c r="I87" s="640"/>
      <c r="J87" s="640"/>
      <c r="K87" s="640"/>
      <c r="L87" s="660"/>
      <c r="M87" s="235">
        <v>-26456042.25</v>
      </c>
      <c r="N87" s="661">
        <f>G87-M87</f>
        <v>26456042.25</v>
      </c>
      <c r="O87" s="690">
        <v>-100</v>
      </c>
      <c r="P87" s="223"/>
    </row>
    <row r="88" spans="1:36" s="667" customFormat="1" ht="25.5" x14ac:dyDescent="0.3">
      <c r="A88" s="225">
        <v>62</v>
      </c>
      <c r="B88" s="267"/>
      <c r="C88" s="662" t="s">
        <v>503</v>
      </c>
      <c r="D88" s="663">
        <f>SUM(D83:D87)</f>
        <v>0</v>
      </c>
      <c r="E88" s="663">
        <f>SUM(E83:E87)</f>
        <v>0</v>
      </c>
      <c r="F88" s="663"/>
      <c r="G88" s="663">
        <f t="shared" ref="G88:N88" si="20">SUM(G83:G87)</f>
        <v>0</v>
      </c>
      <c r="H88" s="663">
        <f t="shared" si="20"/>
        <v>0</v>
      </c>
      <c r="I88" s="663">
        <f t="shared" si="20"/>
        <v>0</v>
      </c>
      <c r="J88" s="663">
        <f t="shared" si="20"/>
        <v>0</v>
      </c>
      <c r="K88" s="663">
        <f t="shared" si="20"/>
        <v>0</v>
      </c>
      <c r="L88" s="663">
        <f t="shared" si="20"/>
        <v>0</v>
      </c>
      <c r="M88" s="664">
        <f t="shared" si="20"/>
        <v>-26456042.25</v>
      </c>
      <c r="N88" s="664">
        <f t="shared" si="20"/>
        <v>26456042.25</v>
      </c>
      <c r="O88" s="691">
        <v>-100</v>
      </c>
      <c r="P88" s="666"/>
      <c r="R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</row>
    <row r="89" spans="1:36" x14ac:dyDescent="0.3">
      <c r="A89" s="225"/>
      <c r="B89" s="267"/>
      <c r="C89" s="260"/>
      <c r="D89" s="229"/>
      <c r="E89" s="229"/>
      <c r="F89" s="229"/>
      <c r="G89" s="230"/>
      <c r="H89" s="640"/>
      <c r="I89" s="640"/>
      <c r="J89" s="640"/>
      <c r="K89" s="640"/>
      <c r="L89" s="640"/>
      <c r="M89" s="640"/>
      <c r="N89" s="234"/>
      <c r="O89" s="234"/>
      <c r="P89" s="223"/>
    </row>
    <row r="90" spans="1:36" s="266" customFormat="1" x14ac:dyDescent="0.3">
      <c r="A90" s="225">
        <v>63</v>
      </c>
      <c r="B90" s="267"/>
      <c r="C90" s="260" t="s">
        <v>504</v>
      </c>
      <c r="D90" s="263" t="e">
        <f>D79+D88</f>
        <v>#REF!</v>
      </c>
      <c r="E90" s="263">
        <f t="shared" ref="E90:N90" si="21">E79+E88</f>
        <v>-28504816479</v>
      </c>
      <c r="F90" s="263"/>
      <c r="G90" s="262">
        <f t="shared" si="21"/>
        <v>-190027831310.90332</v>
      </c>
      <c r="H90" s="262">
        <f t="shared" si="21"/>
        <v>0</v>
      </c>
      <c r="I90" s="262">
        <f t="shared" si="21"/>
        <v>0</v>
      </c>
      <c r="J90" s="262">
        <f t="shared" si="21"/>
        <v>0</v>
      </c>
      <c r="K90" s="262">
        <f t="shared" si="21"/>
        <v>0</v>
      </c>
      <c r="L90" s="262">
        <f t="shared" si="21"/>
        <v>-179012403667.83331</v>
      </c>
      <c r="M90" s="262">
        <f t="shared" si="21"/>
        <v>-257281713541.50668</v>
      </c>
      <c r="N90" s="262">
        <f t="shared" si="21"/>
        <v>67253882230.603333</v>
      </c>
      <c r="O90" s="691">
        <f>+N90/G90</f>
        <v>-0.3539159593973879</v>
      </c>
      <c r="P90" s="265"/>
      <c r="R90" s="516"/>
      <c r="T90" s="516"/>
      <c r="U90" s="516"/>
      <c r="V90" s="516"/>
      <c r="W90" s="516"/>
      <c r="X90" s="516"/>
      <c r="Y90" s="516"/>
      <c r="Z90" s="516"/>
      <c r="AA90" s="516"/>
      <c r="AB90" s="516"/>
      <c r="AC90" s="516"/>
      <c r="AD90" s="516"/>
      <c r="AE90" s="516"/>
      <c r="AF90" s="516"/>
      <c r="AG90" s="516"/>
      <c r="AH90" s="516"/>
      <c r="AI90" s="516"/>
      <c r="AJ90" s="516"/>
    </row>
    <row r="91" spans="1:36" x14ac:dyDescent="0.3">
      <c r="A91" s="225"/>
      <c r="B91" s="267"/>
      <c r="C91" s="260"/>
      <c r="D91" s="261"/>
      <c r="E91" s="261"/>
      <c r="F91" s="261"/>
      <c r="G91" s="230"/>
      <c r="H91" s="640"/>
      <c r="I91" s="640"/>
      <c r="J91" s="640"/>
      <c r="K91" s="640"/>
      <c r="L91" s="640"/>
      <c r="M91" s="640"/>
      <c r="N91" s="234"/>
      <c r="O91" s="234"/>
      <c r="P91" s="223"/>
    </row>
    <row r="92" spans="1:36" x14ac:dyDescent="0.3">
      <c r="A92" s="225">
        <v>64</v>
      </c>
      <c r="B92" s="653" t="s">
        <v>162</v>
      </c>
      <c r="C92" s="260"/>
      <c r="D92" s="261"/>
      <c r="E92" s="261"/>
      <c r="F92" s="261"/>
      <c r="G92" s="230"/>
      <c r="H92" s="640"/>
      <c r="I92" s="640"/>
      <c r="J92" s="640"/>
      <c r="K92" s="640"/>
      <c r="L92" s="640"/>
      <c r="M92" s="640"/>
      <c r="N92" s="234"/>
      <c r="O92" s="234"/>
      <c r="P92" s="223"/>
    </row>
    <row r="93" spans="1:36" x14ac:dyDescent="0.3">
      <c r="A93" s="225">
        <v>65</v>
      </c>
      <c r="B93" s="653" t="s">
        <v>311</v>
      </c>
      <c r="C93" s="260"/>
      <c r="D93" s="261"/>
      <c r="E93" s="261"/>
      <c r="F93" s="261"/>
      <c r="G93" s="230"/>
      <c r="H93" s="640"/>
      <c r="I93" s="640"/>
      <c r="J93" s="640"/>
      <c r="K93" s="640"/>
      <c r="L93" s="640"/>
      <c r="M93" s="640"/>
      <c r="N93" s="234"/>
      <c r="O93" s="234"/>
      <c r="P93" s="223"/>
    </row>
    <row r="94" spans="1:36" x14ac:dyDescent="0.3">
      <c r="A94" s="225">
        <v>66</v>
      </c>
      <c r="B94" s="643" t="s">
        <v>163</v>
      </c>
      <c r="C94" s="227"/>
      <c r="D94" s="229"/>
      <c r="E94" s="229"/>
      <c r="F94" s="229"/>
      <c r="G94" s="230"/>
      <c r="H94" s="640"/>
      <c r="I94" s="640"/>
      <c r="J94" s="640"/>
      <c r="K94" s="640"/>
      <c r="L94" s="660">
        <v>0</v>
      </c>
      <c r="M94" s="640"/>
      <c r="N94" s="233">
        <f>G94-M94</f>
        <v>0</v>
      </c>
      <c r="O94" s="234"/>
      <c r="P94" s="223"/>
    </row>
    <row r="95" spans="1:36" x14ac:dyDescent="0.3">
      <c r="A95" s="225">
        <v>67</v>
      </c>
      <c r="B95" s="234" t="s">
        <v>164</v>
      </c>
      <c r="C95" s="227"/>
      <c r="D95" s="229"/>
      <c r="E95" s="229"/>
      <c r="F95" s="229"/>
      <c r="G95" s="230"/>
      <c r="H95" s="640"/>
      <c r="I95" s="640"/>
      <c r="J95" s="640"/>
      <c r="K95" s="640"/>
      <c r="L95" s="660"/>
      <c r="M95" s="640"/>
      <c r="N95" s="233">
        <f>G95-M95</f>
        <v>0</v>
      </c>
      <c r="O95" s="234"/>
      <c r="P95" s="223"/>
    </row>
    <row r="96" spans="1:36" s="670" customFormat="1" x14ac:dyDescent="0.3">
      <c r="A96" s="225">
        <v>68</v>
      </c>
      <c r="B96" s="267"/>
      <c r="C96" s="268" t="s">
        <v>505</v>
      </c>
      <c r="D96" s="669">
        <f>D94-D95</f>
        <v>0</v>
      </c>
      <c r="E96" s="669">
        <f>E94-E95</f>
        <v>0</v>
      </c>
      <c r="F96" s="669"/>
      <c r="G96" s="669">
        <f t="shared" ref="G96:N96" si="22">G94-G95</f>
        <v>0</v>
      </c>
      <c r="H96" s="669">
        <f t="shared" si="22"/>
        <v>0</v>
      </c>
      <c r="I96" s="669">
        <f t="shared" si="22"/>
        <v>0</v>
      </c>
      <c r="J96" s="669">
        <f t="shared" si="22"/>
        <v>0</v>
      </c>
      <c r="K96" s="669">
        <f t="shared" si="22"/>
        <v>0</v>
      </c>
      <c r="L96" s="669">
        <f t="shared" si="22"/>
        <v>0</v>
      </c>
      <c r="M96" s="669">
        <f t="shared" si="22"/>
        <v>0</v>
      </c>
      <c r="N96" s="669">
        <f t="shared" si="22"/>
        <v>0</v>
      </c>
      <c r="O96" s="665"/>
      <c r="P96" s="666"/>
      <c r="R96" s="671"/>
      <c r="T96" s="671"/>
      <c r="U96" s="671"/>
      <c r="V96" s="671"/>
      <c r="W96" s="671"/>
      <c r="X96" s="671"/>
      <c r="Y96" s="671"/>
      <c r="Z96" s="671"/>
      <c r="AA96" s="671"/>
      <c r="AB96" s="671"/>
      <c r="AC96" s="671"/>
      <c r="AD96" s="671"/>
      <c r="AE96" s="671"/>
      <c r="AF96" s="671"/>
      <c r="AG96" s="671"/>
      <c r="AH96" s="671"/>
      <c r="AI96" s="671"/>
      <c r="AJ96" s="671"/>
    </row>
    <row r="97" spans="1:36" x14ac:dyDescent="0.3">
      <c r="A97" s="225"/>
      <c r="B97" s="267"/>
      <c r="C97" s="227"/>
      <c r="D97" s="229"/>
      <c r="E97" s="229"/>
      <c r="F97" s="229"/>
      <c r="G97" s="230"/>
      <c r="H97" s="640"/>
      <c r="I97" s="640"/>
      <c r="J97" s="640"/>
      <c r="K97" s="640"/>
      <c r="L97" s="640"/>
      <c r="M97" s="640"/>
      <c r="N97" s="234"/>
      <c r="O97" s="234"/>
      <c r="P97" s="223"/>
    </row>
    <row r="98" spans="1:36" s="266" customFormat="1" ht="15.75" thickBot="1" x14ac:dyDescent="0.35">
      <c r="A98" s="672">
        <v>69</v>
      </c>
      <c r="B98" s="673"/>
      <c r="C98" s="674" t="s">
        <v>506</v>
      </c>
      <c r="D98" s="675" t="e">
        <f>D90+D96</f>
        <v>#REF!</v>
      </c>
      <c r="E98" s="675">
        <f t="shared" ref="E98:N98" si="23">E90+E96</f>
        <v>-28504816479</v>
      </c>
      <c r="F98" s="675"/>
      <c r="G98" s="676">
        <f>G90+G96</f>
        <v>-190027831310.90332</v>
      </c>
      <c r="H98" s="676">
        <f t="shared" si="23"/>
        <v>0</v>
      </c>
      <c r="I98" s="676">
        <f t="shared" si="23"/>
        <v>0</v>
      </c>
      <c r="J98" s="676">
        <f t="shared" si="23"/>
        <v>0</v>
      </c>
      <c r="K98" s="676">
        <f t="shared" si="23"/>
        <v>0</v>
      </c>
      <c r="L98" s="676">
        <f t="shared" si="23"/>
        <v>-179012403667.83331</v>
      </c>
      <c r="M98" s="676">
        <f t="shared" si="23"/>
        <v>-257281713541.50668</v>
      </c>
      <c r="N98" s="676">
        <f t="shared" si="23"/>
        <v>67253882230.603333</v>
      </c>
      <c r="O98" s="692">
        <f>+N98/G98</f>
        <v>-0.3539159593973879</v>
      </c>
      <c r="P98" s="265"/>
      <c r="R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6"/>
      <c r="AI98" s="516"/>
      <c r="AJ98" s="516"/>
    </row>
    <row r="99" spans="1:36" s="680" customFormat="1" x14ac:dyDescent="0.3">
      <c r="A99" s="677"/>
      <c r="B99" s="678"/>
      <c r="C99" s="679"/>
      <c r="G99" s="679"/>
      <c r="R99" s="681"/>
      <c r="T99" s="681"/>
      <c r="U99" s="681"/>
      <c r="V99" s="681"/>
      <c r="W99" s="681"/>
      <c r="X99" s="681"/>
      <c r="Y99" s="681"/>
      <c r="Z99" s="681"/>
      <c r="AA99" s="681"/>
      <c r="AB99" s="681"/>
      <c r="AC99" s="681"/>
      <c r="AD99" s="681"/>
      <c r="AE99" s="681"/>
      <c r="AF99" s="681"/>
      <c r="AG99" s="681"/>
      <c r="AH99" s="681"/>
      <c r="AI99" s="681"/>
      <c r="AJ99" s="681"/>
    </row>
    <row r="100" spans="1:36" s="680" customFormat="1" ht="15.75" x14ac:dyDescent="0.3">
      <c r="A100" s="677"/>
      <c r="B100" s="678"/>
      <c r="C100" s="679"/>
      <c r="G100" s="682"/>
      <c r="M100" s="836"/>
      <c r="N100" s="836"/>
      <c r="O100" s="836"/>
      <c r="R100" s="681"/>
      <c r="T100" s="681"/>
      <c r="U100" s="681"/>
      <c r="V100" s="681"/>
      <c r="W100" s="681"/>
      <c r="X100" s="681"/>
      <c r="Y100" s="681"/>
      <c r="Z100" s="681"/>
      <c r="AA100" s="681"/>
      <c r="AB100" s="681"/>
      <c r="AC100" s="681"/>
      <c r="AD100" s="681"/>
      <c r="AE100" s="681"/>
      <c r="AF100" s="681"/>
      <c r="AG100" s="681"/>
      <c r="AH100" s="681"/>
      <c r="AI100" s="681"/>
      <c r="AJ100" s="681"/>
    </row>
    <row r="101" spans="1:36" s="680" customFormat="1" ht="15.75" x14ac:dyDescent="0.3">
      <c r="A101" s="677"/>
      <c r="B101" s="678"/>
      <c r="G101" s="681"/>
      <c r="M101" s="683"/>
      <c r="N101" s="683"/>
      <c r="O101" s="683"/>
      <c r="R101" s="681"/>
      <c r="T101" s="681"/>
      <c r="U101" s="681"/>
      <c r="V101" s="681"/>
      <c r="W101" s="681"/>
      <c r="X101" s="681"/>
      <c r="Y101" s="681"/>
      <c r="Z101" s="681"/>
      <c r="AA101" s="681"/>
      <c r="AB101" s="681"/>
      <c r="AC101" s="681"/>
      <c r="AD101" s="681"/>
      <c r="AE101" s="681"/>
      <c r="AF101" s="681"/>
      <c r="AG101" s="681"/>
      <c r="AH101" s="681"/>
      <c r="AI101" s="681"/>
      <c r="AJ101" s="681"/>
    </row>
    <row r="102" spans="1:36" s="680" customFormat="1" ht="15.75" x14ac:dyDescent="0.3">
      <c r="A102" s="677"/>
      <c r="B102" s="678"/>
      <c r="G102" s="682"/>
      <c r="M102" s="684">
        <f>'BEBAN PEGAWAI'!C39+'BEBAN PERSEDIAAN'!C121+'BEBAN JASA'!C56+'BEBAN PREMI ASURANSI'!C17+'BEBAN SEWA'!C45+'BEBAN PEMELIHARAAN'!C26+'BEBAN PERJALANAN DINAS'!C14+'BEBAN LAIN-LAIN'!C34</f>
        <v>181346314797</v>
      </c>
      <c r="N102" s="685"/>
      <c r="O102" s="685"/>
      <c r="R102" s="681"/>
      <c r="T102" s="681"/>
      <c r="U102" s="681"/>
      <c r="V102" s="681"/>
      <c r="W102" s="681"/>
      <c r="X102" s="681"/>
      <c r="Y102" s="681"/>
      <c r="Z102" s="681"/>
      <c r="AA102" s="681"/>
      <c r="AB102" s="681"/>
      <c r="AC102" s="681"/>
      <c r="AD102" s="681"/>
      <c r="AE102" s="681"/>
      <c r="AF102" s="681"/>
      <c r="AG102" s="681"/>
      <c r="AH102" s="681"/>
      <c r="AI102" s="681"/>
      <c r="AJ102" s="681"/>
    </row>
    <row r="103" spans="1:36" s="680" customFormat="1" ht="16.5" x14ac:dyDescent="0.3">
      <c r="A103" s="677"/>
      <c r="B103" s="678"/>
      <c r="M103" s="686">
        <f>'LRA STLH KONVERSI (RINCI)'!E49</f>
        <v>181346314797</v>
      </c>
      <c r="N103" s="687"/>
      <c r="O103" s="517"/>
      <c r="R103" s="681"/>
      <c r="T103" s="681"/>
      <c r="U103" s="681"/>
      <c r="V103" s="681"/>
      <c r="W103" s="681"/>
      <c r="X103" s="681"/>
      <c r="Y103" s="681"/>
      <c r="Z103" s="681"/>
      <c r="AA103" s="681"/>
      <c r="AB103" s="681"/>
      <c r="AC103" s="681"/>
      <c r="AD103" s="681"/>
      <c r="AE103" s="681"/>
      <c r="AF103" s="681"/>
      <c r="AG103" s="681"/>
      <c r="AH103" s="681"/>
      <c r="AI103" s="681"/>
      <c r="AJ103" s="681"/>
    </row>
    <row r="104" spans="1:36" s="680" customFormat="1" ht="16.5" x14ac:dyDescent="0.3">
      <c r="A104" s="677"/>
      <c r="B104" s="678"/>
      <c r="M104" s="688">
        <f>+M103-M102</f>
        <v>0</v>
      </c>
      <c r="N104" s="687"/>
      <c r="O104" s="517"/>
      <c r="R104" s="681"/>
      <c r="T104" s="681"/>
      <c r="U104" s="681"/>
      <c r="V104" s="681"/>
      <c r="W104" s="681"/>
      <c r="X104" s="681"/>
      <c r="Y104" s="681"/>
      <c r="Z104" s="681"/>
      <c r="AA104" s="681"/>
      <c r="AB104" s="681"/>
      <c r="AC104" s="681"/>
      <c r="AD104" s="681"/>
      <c r="AE104" s="681"/>
      <c r="AF104" s="681"/>
      <c r="AG104" s="681"/>
      <c r="AH104" s="681"/>
      <c r="AI104" s="681"/>
      <c r="AJ104" s="681"/>
    </row>
    <row r="105" spans="1:36" s="680" customFormat="1" ht="15.75" x14ac:dyDescent="0.3">
      <c r="A105" s="677"/>
      <c r="B105" s="678"/>
      <c r="M105" s="832"/>
      <c r="N105" s="832"/>
      <c r="O105" s="832"/>
      <c r="R105" s="681"/>
      <c r="T105" s="681"/>
      <c r="U105" s="681"/>
      <c r="V105" s="681"/>
      <c r="W105" s="681"/>
      <c r="X105" s="681"/>
      <c r="Y105" s="681"/>
      <c r="Z105" s="681"/>
      <c r="AA105" s="681"/>
      <c r="AB105" s="681"/>
      <c r="AC105" s="681"/>
      <c r="AD105" s="681"/>
      <c r="AE105" s="681"/>
      <c r="AF105" s="681"/>
      <c r="AG105" s="681"/>
      <c r="AH105" s="681"/>
      <c r="AI105" s="681"/>
      <c r="AJ105" s="681"/>
    </row>
    <row r="106" spans="1:36" s="680" customFormat="1" ht="15.75" x14ac:dyDescent="0.3">
      <c r="A106" s="677"/>
      <c r="B106" s="678"/>
      <c r="M106" s="830"/>
      <c r="N106" s="832"/>
      <c r="O106" s="689"/>
      <c r="R106" s="681"/>
      <c r="T106" s="681"/>
      <c r="U106" s="681"/>
      <c r="V106" s="681"/>
      <c r="W106" s="681"/>
      <c r="X106" s="681"/>
      <c r="Y106" s="681"/>
      <c r="Z106" s="681"/>
      <c r="AA106" s="681"/>
      <c r="AB106" s="681"/>
      <c r="AC106" s="681"/>
      <c r="AD106" s="681"/>
      <c r="AE106" s="681"/>
      <c r="AF106" s="681"/>
      <c r="AG106" s="681"/>
      <c r="AH106" s="681"/>
      <c r="AI106" s="681"/>
      <c r="AJ106" s="681"/>
    </row>
    <row r="107" spans="1:36" s="680" customFormat="1" ht="15.75" x14ac:dyDescent="0.3">
      <c r="A107" s="677"/>
      <c r="B107" s="678"/>
      <c r="M107" s="830"/>
      <c r="N107" s="830"/>
      <c r="O107" s="830"/>
      <c r="R107" s="681"/>
      <c r="T107" s="681"/>
      <c r="U107" s="681"/>
      <c r="V107" s="681"/>
      <c r="W107" s="681"/>
      <c r="X107" s="681"/>
      <c r="Y107" s="681"/>
      <c r="Z107" s="681"/>
      <c r="AA107" s="681"/>
      <c r="AB107" s="681"/>
      <c r="AC107" s="681"/>
      <c r="AD107" s="681"/>
      <c r="AE107" s="681"/>
      <c r="AF107" s="681"/>
      <c r="AG107" s="681"/>
      <c r="AH107" s="681"/>
      <c r="AI107" s="681"/>
      <c r="AJ107" s="681"/>
    </row>
  </sheetData>
  <sheetProtection algorithmName="SHA-512" hashValue="zBPKMCArjT7Y/opPJKdXRM03DSORri27dRlFPEybrc3BELdoHbH8BHt93JeNnWqtJv6Cu+z0U9XwIQOcGHbNmQ==" saltValue="m9Y4zZrUuest/3ydWG/ItQ==" spinCount="100000" sheet="1" objects="1" scenarios="1"/>
  <mergeCells count="21">
    <mergeCell ref="P5:P6"/>
    <mergeCell ref="G5:G7"/>
    <mergeCell ref="H5:K5"/>
    <mergeCell ref="L5:L7"/>
    <mergeCell ref="M5:M7"/>
    <mergeCell ref="N5:N7"/>
    <mergeCell ref="H6:I7"/>
    <mergeCell ref="J6:K7"/>
    <mergeCell ref="M107:O107"/>
    <mergeCell ref="A1:O1"/>
    <mergeCell ref="A2:O2"/>
    <mergeCell ref="A3:O3"/>
    <mergeCell ref="M106:N106"/>
    <mergeCell ref="A5:A7"/>
    <mergeCell ref="D5:D7"/>
    <mergeCell ref="E5:E7"/>
    <mergeCell ref="F5:F7"/>
    <mergeCell ref="O5:O7"/>
    <mergeCell ref="M100:O100"/>
    <mergeCell ref="M105:O105"/>
    <mergeCell ref="B5:C7"/>
  </mergeCells>
  <printOptions horizontalCentered="1"/>
  <pageMargins left="0.39370078740157483" right="0.39370078740157483" top="0.78740157480314965" bottom="0.78740157480314965" header="0.31496062992125984" footer="0.31496062992125984"/>
  <pageSetup paperSize="10000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2060"/>
  </sheetPr>
  <dimension ref="A1:O33"/>
  <sheetViews>
    <sheetView view="pageBreakPreview" zoomScale="55" zoomScaleNormal="90" zoomScaleSheet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7" sqref="F27"/>
    </sheetView>
  </sheetViews>
  <sheetFormatPr defaultRowHeight="15" x14ac:dyDescent="0.25"/>
  <cols>
    <col min="1" max="1" width="3.85546875" style="5" bestFit="1" customWidth="1"/>
    <col min="2" max="2" width="62.85546875" customWidth="1"/>
    <col min="3" max="10" width="20.28515625" style="3" customWidth="1"/>
    <col min="11" max="13" width="23.28515625" style="3" customWidth="1"/>
    <col min="14" max="14" width="20.28515625" style="3" customWidth="1"/>
    <col min="15" max="15" width="17.85546875" customWidth="1"/>
  </cols>
  <sheetData>
    <row r="1" spans="1:15" s="17" customFormat="1" ht="21" x14ac:dyDescent="0.35">
      <c r="A1" s="847" t="s">
        <v>126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</row>
    <row r="3" spans="1:15" s="4" customFormat="1" ht="90" x14ac:dyDescent="0.25">
      <c r="A3" s="13" t="s">
        <v>22</v>
      </c>
      <c r="B3" s="13" t="s">
        <v>23</v>
      </c>
      <c r="C3" s="14" t="s">
        <v>843</v>
      </c>
      <c r="D3" s="15" t="s">
        <v>857</v>
      </c>
      <c r="E3" s="15" t="s">
        <v>377</v>
      </c>
      <c r="F3" s="15" t="s">
        <v>275</v>
      </c>
      <c r="G3" s="15" t="s">
        <v>858</v>
      </c>
      <c r="H3" s="84" t="s">
        <v>166</v>
      </c>
      <c r="I3" s="85" t="s">
        <v>859</v>
      </c>
      <c r="J3" s="85" t="s">
        <v>860</v>
      </c>
      <c r="K3" s="38" t="s">
        <v>861</v>
      </c>
      <c r="L3" s="38" t="s">
        <v>862</v>
      </c>
      <c r="M3" s="38" t="s">
        <v>863</v>
      </c>
      <c r="N3" s="38" t="s">
        <v>864</v>
      </c>
    </row>
    <row r="4" spans="1:15" s="4" customFormat="1" x14ac:dyDescent="0.25">
      <c r="A4" s="13">
        <v>1</v>
      </c>
      <c r="B4" s="13">
        <v>2</v>
      </c>
      <c r="C4" s="16">
        <v>3</v>
      </c>
      <c r="D4" s="16">
        <v>4</v>
      </c>
      <c r="E4" s="16">
        <v>5</v>
      </c>
      <c r="F4" s="16">
        <v>6</v>
      </c>
      <c r="G4" s="16" t="s">
        <v>139</v>
      </c>
      <c r="H4" s="86">
        <v>8</v>
      </c>
      <c r="I4" s="86">
        <v>9</v>
      </c>
      <c r="J4" s="86" t="s">
        <v>625</v>
      </c>
      <c r="K4" s="40">
        <v>11</v>
      </c>
      <c r="L4" s="40">
        <v>12</v>
      </c>
      <c r="M4" s="40" t="s">
        <v>634</v>
      </c>
      <c r="N4" s="39" t="s">
        <v>635</v>
      </c>
    </row>
    <row r="5" spans="1:15" s="23" customFormat="1" x14ac:dyDescent="0.25">
      <c r="A5" s="20">
        <v>1</v>
      </c>
      <c r="B5" s="25" t="s">
        <v>108</v>
      </c>
      <c r="C5" s="21"/>
      <c r="D5" s="21"/>
      <c r="E5" s="21"/>
      <c r="F5" s="21"/>
      <c r="G5" s="21"/>
      <c r="H5" s="21"/>
      <c r="I5" s="21"/>
      <c r="J5" s="21"/>
      <c r="K5" s="22"/>
      <c r="L5" s="22"/>
      <c r="M5" s="22"/>
      <c r="N5" s="26"/>
    </row>
    <row r="6" spans="1:15" s="23" customFormat="1" x14ac:dyDescent="0.25">
      <c r="A6" s="20"/>
      <c r="B6" s="24" t="s">
        <v>109</v>
      </c>
      <c r="C6" s="82"/>
      <c r="D6" s="247"/>
      <c r="E6" s="26"/>
      <c r="F6" s="26"/>
      <c r="G6" s="26">
        <f>D6-F6</f>
        <v>0</v>
      </c>
      <c r="H6" s="82"/>
      <c r="I6" s="247"/>
      <c r="J6" s="26">
        <f>H6-I6</f>
        <v>0</v>
      </c>
      <c r="K6" s="248"/>
      <c r="L6" s="83">
        <f>C6-D6-I6</f>
        <v>0</v>
      </c>
      <c r="M6" s="37">
        <f>K6-L6</f>
        <v>0</v>
      </c>
      <c r="N6" s="249">
        <f>J6+M6</f>
        <v>0</v>
      </c>
      <c r="O6" s="41">
        <f>C6-D6-I6-L6</f>
        <v>0</v>
      </c>
    </row>
    <row r="7" spans="1:15" s="23" customFormat="1" x14ac:dyDescent="0.25">
      <c r="A7" s="20"/>
      <c r="B7" s="24" t="s">
        <v>110</v>
      </c>
      <c r="C7" s="82"/>
      <c r="D7" s="26"/>
      <c r="E7" s="26"/>
      <c r="F7" s="26"/>
      <c r="G7" s="26">
        <f>D7-F7</f>
        <v>0</v>
      </c>
      <c r="H7" s="245"/>
      <c r="I7" s="82"/>
      <c r="J7" s="26">
        <f>H7-I7</f>
        <v>0</v>
      </c>
      <c r="K7" s="83"/>
      <c r="L7" s="83">
        <f>C7-D7-I7</f>
        <v>0</v>
      </c>
      <c r="M7" s="37">
        <f>K7-L7</f>
        <v>0</v>
      </c>
      <c r="N7" s="249">
        <f>J7+M7</f>
        <v>0</v>
      </c>
      <c r="O7" s="41">
        <f t="shared" ref="O7:O29" si="0">C7-D7-I7-L7</f>
        <v>0</v>
      </c>
    </row>
    <row r="8" spans="1:15" s="23" customFormat="1" x14ac:dyDescent="0.25">
      <c r="A8" s="20"/>
      <c r="B8" s="24" t="s">
        <v>111</v>
      </c>
      <c r="C8" s="82"/>
      <c r="D8" s="26"/>
      <c r="E8" s="26"/>
      <c r="F8" s="26"/>
      <c r="G8" s="26">
        <f>D8-F8</f>
        <v>0</v>
      </c>
      <c r="H8" s="250"/>
      <c r="I8" s="82"/>
      <c r="J8" s="26">
        <f>H8-I8</f>
        <v>0</v>
      </c>
      <c r="K8" s="83"/>
      <c r="L8" s="83">
        <f>C8-D8-I8</f>
        <v>0</v>
      </c>
      <c r="M8" s="37">
        <f>K8-L8</f>
        <v>0</v>
      </c>
      <c r="N8" s="26">
        <f>J8+M8</f>
        <v>0</v>
      </c>
      <c r="O8" s="41">
        <f t="shared" si="0"/>
        <v>0</v>
      </c>
    </row>
    <row r="9" spans="1:15" s="23" customFormat="1" x14ac:dyDescent="0.25">
      <c r="A9" s="20"/>
      <c r="B9" s="24" t="s">
        <v>112</v>
      </c>
      <c r="C9" s="82"/>
      <c r="D9" s="26"/>
      <c r="E9" s="26"/>
      <c r="F9" s="26"/>
      <c r="G9" s="26">
        <f>D9-F9</f>
        <v>0</v>
      </c>
      <c r="H9" s="82"/>
      <c r="I9" s="82"/>
      <c r="J9" s="26">
        <f>H9-I9</f>
        <v>0</v>
      </c>
      <c r="K9" s="83"/>
      <c r="L9" s="83">
        <f>C9-D9-I9</f>
        <v>0</v>
      </c>
      <c r="M9" s="37">
        <f>K9-L9</f>
        <v>0</v>
      </c>
      <c r="N9" s="26">
        <f>J9+M9</f>
        <v>0</v>
      </c>
      <c r="O9" s="41">
        <f t="shared" si="0"/>
        <v>0</v>
      </c>
    </row>
    <row r="10" spans="1:15" s="23" customFormat="1" x14ac:dyDescent="0.25">
      <c r="A10" s="20"/>
      <c r="B10" s="24" t="s">
        <v>113</v>
      </c>
      <c r="C10" s="26"/>
      <c r="D10" s="26"/>
      <c r="E10" s="26"/>
      <c r="F10" s="26"/>
      <c r="G10" s="26">
        <f>D10-F10</f>
        <v>0</v>
      </c>
      <c r="H10" s="26"/>
      <c r="I10" s="26"/>
      <c r="J10" s="26">
        <f>H10-I10</f>
        <v>0</v>
      </c>
      <c r="K10" s="37"/>
      <c r="L10" s="37"/>
      <c r="M10" s="37">
        <f>K10-L10</f>
        <v>0</v>
      </c>
      <c r="N10" s="26">
        <f>J10+M10</f>
        <v>0</v>
      </c>
      <c r="O10" s="41">
        <f t="shared" si="0"/>
        <v>0</v>
      </c>
    </row>
    <row r="11" spans="1:15" s="23" customFormat="1" x14ac:dyDescent="0.25">
      <c r="A11" s="20"/>
      <c r="B11" s="6" t="s">
        <v>29</v>
      </c>
      <c r="C11" s="26">
        <f t="shared" ref="C11:L11" si="1">SUM(C6:C10)</f>
        <v>0</v>
      </c>
      <c r="D11" s="26"/>
      <c r="E11" s="26"/>
      <c r="F11" s="26"/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>SUM(M6:M10)</f>
        <v>0</v>
      </c>
      <c r="N11" s="26">
        <f>SUM(N6:N10)</f>
        <v>0</v>
      </c>
      <c r="O11" s="41">
        <f t="shared" si="0"/>
        <v>0</v>
      </c>
    </row>
    <row r="12" spans="1:15" s="23" customFormat="1" x14ac:dyDescent="0.25">
      <c r="A12" s="20" t="s">
        <v>363</v>
      </c>
      <c r="B12" s="20"/>
      <c r="C12" s="26"/>
      <c r="D12" s="26"/>
      <c r="E12" s="26"/>
      <c r="F12" s="26"/>
      <c r="G12" s="26"/>
      <c r="H12" s="26"/>
      <c r="I12" s="26"/>
      <c r="J12" s="26"/>
      <c r="K12" s="37"/>
      <c r="L12" s="37"/>
      <c r="M12" s="37"/>
      <c r="N12" s="26"/>
      <c r="O12" s="41">
        <f t="shared" si="0"/>
        <v>0</v>
      </c>
    </row>
    <row r="13" spans="1:15" s="1" customFormat="1" x14ac:dyDescent="0.25">
      <c r="A13" s="6">
        <v>2</v>
      </c>
      <c r="B13" s="7" t="s">
        <v>114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41">
        <f t="shared" si="0"/>
        <v>0</v>
      </c>
    </row>
    <row r="14" spans="1:15" x14ac:dyDescent="0.25">
      <c r="A14" s="9"/>
      <c r="B14" s="10" t="s">
        <v>115</v>
      </c>
      <c r="C14" s="11">
        <v>0</v>
      </c>
      <c r="D14" s="11"/>
      <c r="E14" s="11"/>
      <c r="F14" s="11"/>
      <c r="G14" s="26">
        <f>D14-F14</f>
        <v>0</v>
      </c>
      <c r="H14" s="11"/>
      <c r="I14" s="11"/>
      <c r="J14" s="26">
        <f>H14-I14</f>
        <v>0</v>
      </c>
      <c r="K14" s="11"/>
      <c r="L14" s="11"/>
      <c r="M14" s="37">
        <f>K14-L14</f>
        <v>0</v>
      </c>
      <c r="N14" s="26">
        <f>J14+M14</f>
        <v>0</v>
      </c>
      <c r="O14" s="41">
        <f t="shared" si="0"/>
        <v>0</v>
      </c>
    </row>
    <row r="15" spans="1:15" s="246" customFormat="1" x14ac:dyDescent="0.25">
      <c r="A15" s="243"/>
      <c r="B15" s="244" t="s">
        <v>116</v>
      </c>
      <c r="C15" s="245">
        <v>2236180000</v>
      </c>
      <c r="D15" s="245"/>
      <c r="E15" s="245"/>
      <c r="F15" s="245"/>
      <c r="G15" s="26">
        <f>D15-F15</f>
        <v>0</v>
      </c>
      <c r="H15" s="245"/>
      <c r="I15" s="245"/>
      <c r="J15" s="26">
        <f>H15-I15</f>
        <v>0</v>
      </c>
      <c r="K15" s="245">
        <f>+L15</f>
        <v>2236180000</v>
      </c>
      <c r="L15" s="245">
        <f>C15-D15-I15</f>
        <v>2236180000</v>
      </c>
      <c r="M15" s="37">
        <f>K15-L15</f>
        <v>0</v>
      </c>
      <c r="N15" s="26">
        <f>J15+M15</f>
        <v>0</v>
      </c>
      <c r="O15" s="41">
        <f t="shared" si="0"/>
        <v>0</v>
      </c>
    </row>
    <row r="16" spans="1:15" x14ac:dyDescent="0.25">
      <c r="A16" s="9"/>
      <c r="B16" s="10" t="s">
        <v>117</v>
      </c>
      <c r="C16" s="11">
        <v>0</v>
      </c>
      <c r="D16" s="11"/>
      <c r="E16" s="11"/>
      <c r="F16" s="11"/>
      <c r="G16" s="26">
        <f>D16-F16</f>
        <v>0</v>
      </c>
      <c r="H16" s="11"/>
      <c r="I16" s="11"/>
      <c r="J16" s="26">
        <f>H16-I16</f>
        <v>0</v>
      </c>
      <c r="K16" s="11"/>
      <c r="L16" s="11"/>
      <c r="M16" s="37">
        <f>K16-L16</f>
        <v>0</v>
      </c>
      <c r="N16" s="26">
        <f>J16+M16</f>
        <v>0</v>
      </c>
      <c r="O16" s="41">
        <f t="shared" si="0"/>
        <v>0</v>
      </c>
    </row>
    <row r="17" spans="1:15" s="2" customFormat="1" x14ac:dyDescent="0.25">
      <c r="A17" s="6"/>
      <c r="B17" s="6" t="s">
        <v>29</v>
      </c>
      <c r="C17" s="18">
        <f>SUM(C14:C16)</f>
        <v>2236180000</v>
      </c>
      <c r="D17" s="18">
        <f>SUM(D14:D16)</f>
        <v>0</v>
      </c>
      <c r="E17" s="18"/>
      <c r="F17" s="18"/>
      <c r="G17" s="18">
        <f t="shared" ref="G17:N17" si="2">SUM(G14:G16)</f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2236180000</v>
      </c>
      <c r="L17" s="18">
        <f t="shared" si="2"/>
        <v>2236180000</v>
      </c>
      <c r="M17" s="18">
        <f t="shared" si="2"/>
        <v>0</v>
      </c>
      <c r="N17" s="18">
        <f t="shared" si="2"/>
        <v>0</v>
      </c>
      <c r="O17" s="41">
        <f t="shared" si="0"/>
        <v>0</v>
      </c>
    </row>
    <row r="18" spans="1:15" s="2" customFormat="1" x14ac:dyDescent="0.25">
      <c r="A18" s="6"/>
      <c r="B18" s="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41">
        <f t="shared" si="0"/>
        <v>0</v>
      </c>
    </row>
    <row r="19" spans="1:15" s="1" customFormat="1" x14ac:dyDescent="0.25">
      <c r="A19" s="6">
        <v>3</v>
      </c>
      <c r="B19" s="7" t="s">
        <v>118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1">
        <f t="shared" si="0"/>
        <v>0</v>
      </c>
    </row>
    <row r="20" spans="1:15" x14ac:dyDescent="0.25">
      <c r="A20" s="9"/>
      <c r="B20" s="10" t="s">
        <v>119</v>
      </c>
      <c r="C20" s="11"/>
      <c r="D20" s="11"/>
      <c r="E20" s="11"/>
      <c r="F20" s="11"/>
      <c r="G20" s="26">
        <f>D20-F20</f>
        <v>0</v>
      </c>
      <c r="H20" s="203"/>
      <c r="I20" s="11"/>
      <c r="J20" s="26">
        <f t="shared" ref="J20:J27" si="3">H20-I20</f>
        <v>0</v>
      </c>
      <c r="K20" s="11"/>
      <c r="L20" s="11">
        <f>C20-I20</f>
        <v>0</v>
      </c>
      <c r="M20" s="37">
        <f t="shared" ref="M20:M27" si="4">K20-L20</f>
        <v>0</v>
      </c>
      <c r="N20" s="26">
        <f>J20+M20</f>
        <v>0</v>
      </c>
      <c r="O20" s="41">
        <f t="shared" si="0"/>
        <v>0</v>
      </c>
    </row>
    <row r="21" spans="1:15" x14ac:dyDescent="0.25">
      <c r="A21" s="9"/>
      <c r="B21" s="10" t="s">
        <v>120</v>
      </c>
      <c r="C21" s="11"/>
      <c r="D21" s="11"/>
      <c r="E21" s="11"/>
      <c r="F21" s="11"/>
      <c r="G21" s="26">
        <f t="shared" ref="G21:G27" si="5">D21-F21</f>
        <v>0</v>
      </c>
      <c r="H21" s="11"/>
      <c r="I21" s="11"/>
      <c r="J21" s="26">
        <f t="shared" si="3"/>
        <v>0</v>
      </c>
      <c r="K21" s="11"/>
      <c r="L21" s="11">
        <f>K21</f>
        <v>0</v>
      </c>
      <c r="M21" s="37">
        <f t="shared" si="4"/>
        <v>0</v>
      </c>
      <c r="N21" s="26">
        <f t="shared" ref="N21:N27" si="6">J21+M21</f>
        <v>0</v>
      </c>
      <c r="O21" s="41">
        <f t="shared" si="0"/>
        <v>0</v>
      </c>
    </row>
    <row r="22" spans="1:15" x14ac:dyDescent="0.25">
      <c r="A22" s="9"/>
      <c r="B22" s="10" t="s">
        <v>121</v>
      </c>
      <c r="C22" s="11"/>
      <c r="D22" s="11"/>
      <c r="E22" s="11"/>
      <c r="F22" s="11"/>
      <c r="G22" s="26">
        <f t="shared" si="5"/>
        <v>0</v>
      </c>
      <c r="H22" s="11"/>
      <c r="I22" s="11"/>
      <c r="J22" s="26">
        <f t="shared" si="3"/>
        <v>0</v>
      </c>
      <c r="K22" s="11"/>
      <c r="L22" s="11">
        <f>K22</f>
        <v>0</v>
      </c>
      <c r="M22" s="37">
        <f t="shared" si="4"/>
        <v>0</v>
      </c>
      <c r="N22" s="26">
        <f t="shared" si="6"/>
        <v>0</v>
      </c>
      <c r="O22" s="41">
        <f t="shared" si="0"/>
        <v>0</v>
      </c>
    </row>
    <row r="23" spans="1:15" x14ac:dyDescent="0.25">
      <c r="A23" s="9"/>
      <c r="B23" s="10" t="s">
        <v>122</v>
      </c>
      <c r="C23" s="11"/>
      <c r="D23" s="11"/>
      <c r="E23" s="11"/>
      <c r="F23" s="11"/>
      <c r="G23" s="26">
        <f t="shared" si="5"/>
        <v>0</v>
      </c>
      <c r="H23" s="11"/>
      <c r="I23" s="11"/>
      <c r="J23" s="26">
        <f t="shared" si="3"/>
        <v>0</v>
      </c>
      <c r="K23" s="11"/>
      <c r="L23" s="11"/>
      <c r="M23" s="37">
        <f t="shared" si="4"/>
        <v>0</v>
      </c>
      <c r="N23" s="26">
        <f t="shared" si="6"/>
        <v>0</v>
      </c>
      <c r="O23" s="41">
        <f t="shared" si="0"/>
        <v>0</v>
      </c>
    </row>
    <row r="24" spans="1:15" x14ac:dyDescent="0.25">
      <c r="A24" s="9"/>
      <c r="B24" s="10" t="s">
        <v>123</v>
      </c>
      <c r="C24" s="11"/>
      <c r="D24" s="11"/>
      <c r="E24" s="11"/>
      <c r="F24" s="11"/>
      <c r="G24" s="26">
        <f t="shared" si="5"/>
        <v>0</v>
      </c>
      <c r="H24" s="11"/>
      <c r="I24" s="11"/>
      <c r="J24" s="26">
        <f t="shared" si="3"/>
        <v>0</v>
      </c>
      <c r="K24" s="11"/>
      <c r="L24" s="11"/>
      <c r="M24" s="37">
        <f t="shared" si="4"/>
        <v>0</v>
      </c>
      <c r="N24" s="26">
        <f t="shared" si="6"/>
        <v>0</v>
      </c>
      <c r="O24" s="41">
        <f t="shared" si="0"/>
        <v>0</v>
      </c>
    </row>
    <row r="25" spans="1:15" x14ac:dyDescent="0.25">
      <c r="A25" s="9"/>
      <c r="B25" s="10" t="s">
        <v>124</v>
      </c>
      <c r="C25" s="11"/>
      <c r="D25" s="11"/>
      <c r="E25" s="11"/>
      <c r="F25" s="11"/>
      <c r="G25" s="26">
        <f t="shared" si="5"/>
        <v>0</v>
      </c>
      <c r="H25" s="11"/>
      <c r="I25" s="11"/>
      <c r="J25" s="26">
        <f t="shared" si="3"/>
        <v>0</v>
      </c>
      <c r="K25" s="11"/>
      <c r="L25" s="11"/>
      <c r="M25" s="37">
        <f t="shared" si="4"/>
        <v>0</v>
      </c>
      <c r="N25" s="26">
        <f t="shared" si="6"/>
        <v>0</v>
      </c>
      <c r="O25" s="41">
        <f t="shared" si="0"/>
        <v>0</v>
      </c>
    </row>
    <row r="26" spans="1:15" x14ac:dyDescent="0.25">
      <c r="A26" s="9"/>
      <c r="B26" s="10" t="s">
        <v>125</v>
      </c>
      <c r="C26" s="11"/>
      <c r="D26" s="11"/>
      <c r="E26" s="11"/>
      <c r="F26" s="11"/>
      <c r="G26" s="26">
        <f t="shared" si="5"/>
        <v>0</v>
      </c>
      <c r="H26" s="11"/>
      <c r="I26" s="11"/>
      <c r="J26" s="26">
        <f t="shared" si="3"/>
        <v>0</v>
      </c>
      <c r="K26" s="11"/>
      <c r="L26" s="11"/>
      <c r="M26" s="37">
        <f t="shared" si="4"/>
        <v>0</v>
      </c>
      <c r="N26" s="26">
        <f t="shared" si="6"/>
        <v>0</v>
      </c>
      <c r="O26" s="41">
        <f t="shared" si="0"/>
        <v>0</v>
      </c>
    </row>
    <row r="27" spans="1:15" x14ac:dyDescent="0.25">
      <c r="A27" s="9"/>
      <c r="B27" s="10" t="s">
        <v>482</v>
      </c>
      <c r="C27" s="11"/>
      <c r="D27" s="11"/>
      <c r="E27" s="11"/>
      <c r="F27" s="11"/>
      <c r="G27" s="26">
        <f t="shared" si="5"/>
        <v>0</v>
      </c>
      <c r="H27" s="245"/>
      <c r="I27" s="11"/>
      <c r="J27" s="26">
        <f t="shared" si="3"/>
        <v>0</v>
      </c>
      <c r="K27" s="11"/>
      <c r="L27" s="11">
        <f>K27-I27-D27</f>
        <v>0</v>
      </c>
      <c r="M27" s="37">
        <f t="shared" si="4"/>
        <v>0</v>
      </c>
      <c r="N27" s="26">
        <f t="shared" si="6"/>
        <v>0</v>
      </c>
      <c r="O27" s="41">
        <f t="shared" si="0"/>
        <v>0</v>
      </c>
    </row>
    <row r="28" spans="1:15" s="2" customFormat="1" x14ac:dyDescent="0.25">
      <c r="A28" s="6"/>
      <c r="B28" s="6" t="s">
        <v>29</v>
      </c>
      <c r="C28" s="18">
        <f>SUM(C20:C27)</f>
        <v>0</v>
      </c>
      <c r="D28" s="18"/>
      <c r="E28" s="18"/>
      <c r="F28" s="18"/>
      <c r="G28" s="18"/>
      <c r="H28" s="18">
        <f t="shared" ref="H28:N28" si="7">SUM(H20:H27)</f>
        <v>0</v>
      </c>
      <c r="I28" s="18">
        <f t="shared" si="7"/>
        <v>0</v>
      </c>
      <c r="J28" s="18">
        <f t="shared" si="7"/>
        <v>0</v>
      </c>
      <c r="K28" s="18">
        <f t="shared" si="7"/>
        <v>0</v>
      </c>
      <c r="L28" s="18">
        <f t="shared" si="7"/>
        <v>0</v>
      </c>
      <c r="M28" s="18">
        <f t="shared" si="7"/>
        <v>0</v>
      </c>
      <c r="N28" s="18">
        <f t="shared" si="7"/>
        <v>0</v>
      </c>
      <c r="O28" s="41">
        <f t="shared" si="0"/>
        <v>0</v>
      </c>
    </row>
    <row r="29" spans="1:15" s="2" customFormat="1" x14ac:dyDescent="0.25">
      <c r="A29" s="6"/>
      <c r="B29" s="6" t="s">
        <v>28</v>
      </c>
      <c r="C29" s="18">
        <f t="shared" ref="C29:N29" si="8">C28+C17+C11</f>
        <v>2236180000</v>
      </c>
      <c r="D29" s="18">
        <f t="shared" si="8"/>
        <v>0</v>
      </c>
      <c r="E29" s="18"/>
      <c r="F29" s="18">
        <f t="shared" si="8"/>
        <v>0</v>
      </c>
      <c r="G29" s="18">
        <f>G28+G17+G11</f>
        <v>0</v>
      </c>
      <c r="H29" s="18">
        <f t="shared" si="8"/>
        <v>0</v>
      </c>
      <c r="I29" s="18">
        <f t="shared" si="8"/>
        <v>0</v>
      </c>
      <c r="J29" s="18">
        <f t="shared" si="8"/>
        <v>0</v>
      </c>
      <c r="K29" s="18">
        <f t="shared" si="8"/>
        <v>2236180000</v>
      </c>
      <c r="L29" s="18">
        <f t="shared" si="8"/>
        <v>2236180000</v>
      </c>
      <c r="M29" s="18">
        <f t="shared" si="8"/>
        <v>0</v>
      </c>
      <c r="N29" s="18">
        <f t="shared" si="8"/>
        <v>0</v>
      </c>
      <c r="O29" s="41">
        <f t="shared" si="0"/>
        <v>0</v>
      </c>
    </row>
    <row r="30" spans="1:15" x14ac:dyDescent="0.25">
      <c r="C30" s="3">
        <f>+[9]Sheet1!$D$11</f>
        <v>2236180000</v>
      </c>
    </row>
    <row r="31" spans="1:15" x14ac:dyDescent="0.25">
      <c r="C31" s="3">
        <f>+C29-C30</f>
        <v>0</v>
      </c>
    </row>
    <row r="33" spans="11:11" x14ac:dyDescent="0.25">
      <c r="K33" s="200"/>
    </row>
  </sheetData>
  <sheetProtection algorithmName="SHA-512" hashValue="lfRM+gg7LB463xWKXtvhqTjO0nbs7Ml2TFGV6unftM9PDxkPtj1AaYRR8hQB2pb+Evg8zaumRqU3efnEsd1T2w==" saltValue="1ZgmO3oFNTuLjLYaVMtktA==" spinCount="100000" sheet="1" objects="1" scenarios="1"/>
  <mergeCells count="1">
    <mergeCell ref="A1:N1"/>
  </mergeCells>
  <pageMargins left="0" right="0" top="0.74803149606299213" bottom="0.74803149606299213" header="0.31496062992125984" footer="0.31496062992125984"/>
  <pageSetup paperSize="258" scale="50" orientation="landscape" verticalDpi="12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28</vt:i4>
      </vt:variant>
    </vt:vector>
  </HeadingPairs>
  <TitlesOfParts>
    <vt:vector size="46" baseType="lpstr">
      <vt:lpstr>LRA</vt:lpstr>
      <vt:lpstr>LRA STLH KONVERSI (RINCI)</vt:lpstr>
      <vt:lpstr>ASET TETAP</vt:lpstr>
      <vt:lpstr>ASET LAINNYA</vt:lpstr>
      <vt:lpstr>SUSUT &amp; AMOR</vt:lpstr>
      <vt:lpstr>NERACA</vt:lpstr>
      <vt:lpstr>LPE</vt:lpstr>
      <vt:lpstr>LO</vt:lpstr>
      <vt:lpstr>PENDAPATAN LO</vt:lpstr>
      <vt:lpstr>BEBAN PEGAWAI</vt:lpstr>
      <vt:lpstr>BEBAN PERSEDIAAN</vt:lpstr>
      <vt:lpstr>BEBAN JASA</vt:lpstr>
      <vt:lpstr>BEBAN PREMI ASURANSI</vt:lpstr>
      <vt:lpstr>BELANJA DBYAR DMUKA</vt:lpstr>
      <vt:lpstr>BEBAN SEWA</vt:lpstr>
      <vt:lpstr>BEBAN PEMELIHARAAN</vt:lpstr>
      <vt:lpstr>BEBAN PERJALANAN DINAS</vt:lpstr>
      <vt:lpstr>BEBAN LAIN-LAIN</vt:lpstr>
      <vt:lpstr>'ASET TETAP'!Print_Area</vt:lpstr>
      <vt:lpstr>'BEBAN JASA'!Print_Area</vt:lpstr>
      <vt:lpstr>'BEBAN LAIN-LAIN'!Print_Area</vt:lpstr>
      <vt:lpstr>'BEBAN PEGAWAI'!Print_Area</vt:lpstr>
      <vt:lpstr>'BEBAN PEMELIHARAAN'!Print_Area</vt:lpstr>
      <vt:lpstr>'BEBAN PERJALANAN DINAS'!Print_Area</vt:lpstr>
      <vt:lpstr>'BEBAN PERSEDIAAN'!Print_Area</vt:lpstr>
      <vt:lpstr>'BEBAN PREMI ASURANSI'!Print_Area</vt:lpstr>
      <vt:lpstr>'BEBAN SEWA'!Print_Area</vt:lpstr>
      <vt:lpstr>'BELANJA DBYAR DMUKA'!Print_Area</vt:lpstr>
      <vt:lpstr>LO!Print_Area</vt:lpstr>
      <vt:lpstr>LPE!Print_Area</vt:lpstr>
      <vt:lpstr>'LRA STLH KONVERSI (RINCI)'!Print_Area</vt:lpstr>
      <vt:lpstr>NERACA!Print_Area</vt:lpstr>
      <vt:lpstr>'PENDAPATAN LO'!Print_Area</vt:lpstr>
      <vt:lpstr>'SUSUT &amp; AMOR'!Print_Area</vt:lpstr>
      <vt:lpstr>'BEBAN JASA'!Print_Titles</vt:lpstr>
      <vt:lpstr>'BEBAN LAIN-LAIN'!Print_Titles</vt:lpstr>
      <vt:lpstr>'BEBAN PEGAWAI'!Print_Titles</vt:lpstr>
      <vt:lpstr>'BEBAN PEMELIHARAAN'!Print_Titles</vt:lpstr>
      <vt:lpstr>'BEBAN PERJALANAN DINAS'!Print_Titles</vt:lpstr>
      <vt:lpstr>'BEBAN PERSEDIAAN'!Print_Titles</vt:lpstr>
      <vt:lpstr>'BEBAN SEWA'!Print_Titles</vt:lpstr>
      <vt:lpstr>'BELANJA DBYAR DMUKA'!Print_Titles</vt:lpstr>
      <vt:lpstr>LO!Print_Titles</vt:lpstr>
      <vt:lpstr>LRA!Print_Titles</vt:lpstr>
      <vt:lpstr>'LRA STLH KONVERSI (RINCI)'!Print_Titles</vt:lpstr>
      <vt:lpstr>NERACA!Print_Titles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</dc:creator>
  <cp:lastModifiedBy>HENDRIOP</cp:lastModifiedBy>
  <cp:lastPrinted>2018-04-17T03:57:49Z</cp:lastPrinted>
  <dcterms:created xsi:type="dcterms:W3CDTF">2015-01-17T05:07:46Z</dcterms:created>
  <dcterms:modified xsi:type="dcterms:W3CDTF">2018-04-27T02:36:01Z</dcterms:modified>
</cp:coreProperties>
</file>